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zinga\Desktop\"/>
    </mc:Choice>
  </mc:AlternateContent>
  <bookViews>
    <workbookView xWindow="0" yWindow="0" windowWidth="15345" windowHeight="4650"/>
  </bookViews>
  <sheets>
    <sheet name="Fert Calculator" sheetId="1" r:id="rId1"/>
    <sheet name="Corn Removal" sheetId="3" r:id="rId2"/>
    <sheet name="Soybean Removal" sheetId="4" r:id="rId3"/>
    <sheet name="Wheat Removal" sheetId="5" r:id="rId4"/>
  </sheets>
  <definedNames>
    <definedName name="_xlnm.Print_Area" localSheetId="0">'Fert Calculator'!$A$1:$M$69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J37" i="1"/>
  <c r="J39" i="1"/>
  <c r="K39" i="1"/>
  <c r="H37" i="1"/>
  <c r="E49" i="1"/>
  <c r="E47" i="1"/>
  <c r="J58" i="1"/>
  <c r="K58" i="1"/>
  <c r="K61" i="1"/>
  <c r="F44" i="1"/>
  <c r="G59" i="1"/>
  <c r="H44" i="1"/>
  <c r="G44" i="1"/>
  <c r="I43" i="1"/>
  <c r="H43" i="1"/>
  <c r="I42" i="1"/>
  <c r="F42" i="1"/>
  <c r="G41" i="1"/>
  <c r="F41" i="1"/>
  <c r="F40" i="1"/>
  <c r="J66" i="1"/>
  <c r="K62" i="1"/>
  <c r="K63" i="1"/>
  <c r="I59" i="1"/>
  <c r="H59" i="1"/>
  <c r="F59" i="1"/>
  <c r="L55" i="1"/>
  <c r="K55" i="1"/>
  <c r="J55" i="1"/>
  <c r="I55" i="1"/>
  <c r="H55" i="1"/>
  <c r="G55" i="1"/>
  <c r="F55" i="1"/>
  <c r="N5" i="5"/>
  <c r="G21" i="5"/>
  <c r="H17" i="5"/>
  <c r="G17" i="5"/>
  <c r="F17" i="5"/>
  <c r="E17" i="5"/>
  <c r="H16" i="5"/>
  <c r="G16" i="5"/>
  <c r="F16" i="5"/>
  <c r="E16" i="5"/>
  <c r="H15" i="5"/>
  <c r="G15" i="5"/>
  <c r="F15" i="5"/>
  <c r="E15" i="5"/>
  <c r="H14" i="5"/>
  <c r="G14" i="5"/>
  <c r="F14" i="5"/>
  <c r="E14" i="5"/>
  <c r="H13" i="5"/>
  <c r="G13" i="5"/>
  <c r="F13" i="5"/>
  <c r="E13" i="5"/>
  <c r="H12" i="5"/>
  <c r="G12" i="5"/>
  <c r="F12" i="5"/>
  <c r="E12" i="5"/>
  <c r="H11" i="5"/>
  <c r="G11" i="5"/>
  <c r="F11" i="5"/>
  <c r="E11" i="5"/>
  <c r="H10" i="5"/>
  <c r="G10" i="5"/>
  <c r="F10" i="5"/>
  <c r="E10" i="5"/>
  <c r="H7" i="5"/>
  <c r="G7" i="5"/>
  <c r="F7" i="5"/>
  <c r="E7" i="5"/>
  <c r="H6" i="5"/>
  <c r="G6" i="5"/>
  <c r="F6" i="5"/>
  <c r="E6" i="5"/>
  <c r="G26" i="5"/>
  <c r="M5" i="5"/>
  <c r="E26" i="5"/>
  <c r="L5" i="5"/>
  <c r="E21" i="5"/>
  <c r="K5" i="5"/>
  <c r="J5" i="5"/>
  <c r="C24" i="5"/>
  <c r="H5" i="5"/>
  <c r="G5" i="5"/>
  <c r="F5" i="5"/>
  <c r="E5" i="5"/>
  <c r="L54" i="1"/>
  <c r="K54" i="1"/>
  <c r="J54" i="1"/>
  <c r="I54" i="1"/>
  <c r="H54" i="1"/>
  <c r="G54" i="1"/>
  <c r="H17" i="4"/>
  <c r="G17" i="4"/>
  <c r="F17" i="4"/>
  <c r="E17" i="4"/>
  <c r="H16" i="4"/>
  <c r="G16" i="4"/>
  <c r="F16" i="4"/>
  <c r="E16" i="4"/>
  <c r="H15" i="4"/>
  <c r="G15" i="4"/>
  <c r="F15" i="4"/>
  <c r="E15" i="4"/>
  <c r="H14" i="4"/>
  <c r="G14" i="4"/>
  <c r="F14" i="4"/>
  <c r="E14" i="4"/>
  <c r="H13" i="4"/>
  <c r="G13" i="4"/>
  <c r="F13" i="4"/>
  <c r="E13" i="4"/>
  <c r="H12" i="4"/>
  <c r="G12" i="4"/>
  <c r="F12" i="4"/>
  <c r="E12" i="4"/>
  <c r="H11" i="4"/>
  <c r="G11" i="4"/>
  <c r="F11" i="4"/>
  <c r="E11" i="4"/>
  <c r="H10" i="4"/>
  <c r="G10" i="4"/>
  <c r="F10" i="4"/>
  <c r="E10" i="4"/>
  <c r="H7" i="4"/>
  <c r="G7" i="4"/>
  <c r="F7" i="4"/>
  <c r="E7" i="4"/>
  <c r="H6" i="4"/>
  <c r="G6" i="4"/>
  <c r="F6" i="4"/>
  <c r="E6" i="4"/>
  <c r="N5" i="4"/>
  <c r="G26" i="4"/>
  <c r="M5" i="4"/>
  <c r="K21" i="4"/>
  <c r="L5" i="4"/>
  <c r="E24" i="4"/>
  <c r="K5" i="4"/>
  <c r="I21" i="4"/>
  <c r="J5" i="4"/>
  <c r="C21" i="4"/>
  <c r="H5" i="4"/>
  <c r="G5" i="4"/>
  <c r="F5" i="4"/>
  <c r="E5" i="4"/>
  <c r="L53" i="1"/>
  <c r="K53" i="1"/>
  <c r="J53" i="1"/>
  <c r="I53" i="1"/>
  <c r="H53" i="1"/>
  <c r="G53" i="1"/>
  <c r="F53" i="1"/>
  <c r="N5" i="3"/>
  <c r="G21" i="3"/>
  <c r="H17" i="3"/>
  <c r="G17" i="3"/>
  <c r="F17" i="3"/>
  <c r="E17" i="3"/>
  <c r="H16" i="3"/>
  <c r="G16" i="3"/>
  <c r="F16" i="3"/>
  <c r="E16" i="3"/>
  <c r="H15" i="3"/>
  <c r="G15" i="3"/>
  <c r="F15" i="3"/>
  <c r="E15" i="3"/>
  <c r="H14" i="3"/>
  <c r="G14" i="3"/>
  <c r="F14" i="3"/>
  <c r="E14" i="3"/>
  <c r="H13" i="3"/>
  <c r="G13" i="3"/>
  <c r="F13" i="3"/>
  <c r="E13" i="3"/>
  <c r="H12" i="3"/>
  <c r="G12" i="3"/>
  <c r="F12" i="3"/>
  <c r="E12" i="3"/>
  <c r="H11" i="3"/>
  <c r="G11" i="3"/>
  <c r="F11" i="3"/>
  <c r="E11" i="3"/>
  <c r="H10" i="3"/>
  <c r="G10" i="3"/>
  <c r="F10" i="3"/>
  <c r="E10" i="3"/>
  <c r="H7" i="3"/>
  <c r="G7" i="3"/>
  <c r="F7" i="3"/>
  <c r="E7" i="3"/>
  <c r="H6" i="3"/>
  <c r="G6" i="3"/>
  <c r="F6" i="3"/>
  <c r="E6" i="3"/>
  <c r="G26" i="3"/>
  <c r="M5" i="3"/>
  <c r="K21" i="3"/>
  <c r="L5" i="3"/>
  <c r="E24" i="3"/>
  <c r="K5" i="3"/>
  <c r="I21" i="3"/>
  <c r="J5" i="3"/>
  <c r="H5" i="3"/>
  <c r="G5" i="3"/>
  <c r="F5" i="3"/>
  <c r="E5" i="3"/>
  <c r="G21" i="4"/>
  <c r="E24" i="5"/>
  <c r="C21" i="3"/>
  <c r="C26" i="4"/>
  <c r="I21" i="5"/>
  <c r="C21" i="5"/>
  <c r="C24" i="4"/>
  <c r="G58" i="1"/>
  <c r="E63" i="1"/>
  <c r="E64" i="1"/>
  <c r="K21" i="5"/>
  <c r="C26" i="5"/>
  <c r="J26" i="5"/>
  <c r="G24" i="5"/>
  <c r="E26" i="4"/>
  <c r="J26" i="4"/>
  <c r="G24" i="4"/>
  <c r="J24" i="4"/>
  <c r="E21" i="4"/>
  <c r="C24" i="3"/>
  <c r="C26" i="3"/>
  <c r="E21" i="3"/>
  <c r="E26" i="3"/>
  <c r="G24" i="3"/>
  <c r="J24" i="3"/>
  <c r="L58" i="1"/>
  <c r="I58" i="1"/>
  <c r="H58" i="1"/>
  <c r="F58" i="1"/>
  <c r="E62" i="1"/>
  <c r="K38" i="1"/>
  <c r="K51" i="1"/>
  <c r="I38" i="1"/>
  <c r="J51" i="1"/>
  <c r="I37" i="1"/>
  <c r="F31" i="1"/>
  <c r="L35" i="1"/>
  <c r="L51" i="1"/>
  <c r="I35" i="1"/>
  <c r="I31" i="1"/>
  <c r="H32" i="1"/>
  <c r="H51" i="1"/>
  <c r="G35" i="1"/>
  <c r="G34" i="1"/>
  <c r="G51" i="1"/>
  <c r="F36" i="1"/>
  <c r="F35" i="1"/>
  <c r="F34" i="1"/>
  <c r="F33" i="1"/>
  <c r="J24" i="5"/>
  <c r="I51" i="1"/>
  <c r="F51" i="1"/>
  <c r="J26" i="3"/>
</calcChain>
</file>

<file path=xl/sharedStrings.xml><?xml version="1.0" encoding="utf-8"?>
<sst xmlns="http://schemas.openxmlformats.org/spreadsheetml/2006/main" count="204" uniqueCount="89">
  <si>
    <t>21-0-0-24s</t>
  </si>
  <si>
    <t>0-0-60</t>
  </si>
  <si>
    <t>46-0-0</t>
  </si>
  <si>
    <t>11-52-0</t>
  </si>
  <si>
    <t>12-40-0 10S 1ZN</t>
  </si>
  <si>
    <t>46-0-0 Super</t>
  </si>
  <si>
    <t>N</t>
  </si>
  <si>
    <t>S</t>
  </si>
  <si>
    <t>0-0-22-11mg-22S</t>
  </si>
  <si>
    <t>0-0-0-17S-21Ca</t>
  </si>
  <si>
    <t>Price</t>
  </si>
  <si>
    <t>Analysis</t>
  </si>
  <si>
    <t>Product</t>
  </si>
  <si>
    <t>AMS</t>
  </si>
  <si>
    <t>Potash</t>
  </si>
  <si>
    <t>Urea</t>
  </si>
  <si>
    <t>MAP</t>
  </si>
  <si>
    <t>MESZ</t>
  </si>
  <si>
    <t>Super U</t>
  </si>
  <si>
    <t>Kmag</t>
  </si>
  <si>
    <t>Pell Gyp</t>
  </si>
  <si>
    <t>Crop</t>
  </si>
  <si>
    <t>Corn</t>
  </si>
  <si>
    <t>Soybeans</t>
  </si>
  <si>
    <t>Wheat</t>
  </si>
  <si>
    <t>P</t>
  </si>
  <si>
    <t>K</t>
  </si>
  <si>
    <t>Bushels per Acre</t>
  </si>
  <si>
    <t>Pounds per Acre Needed</t>
  </si>
  <si>
    <t>#/bu removel</t>
  </si>
  <si>
    <t>10-34-00</t>
  </si>
  <si>
    <t>Nitrogen</t>
  </si>
  <si>
    <t>Phosphate</t>
  </si>
  <si>
    <t>Micro-Nutrients</t>
  </si>
  <si>
    <t>Current Prices</t>
  </si>
  <si>
    <t>Ca</t>
  </si>
  <si>
    <t>Mg</t>
  </si>
  <si>
    <t>Zn</t>
  </si>
  <si>
    <t>Mn</t>
  </si>
  <si>
    <t>Cu</t>
  </si>
  <si>
    <t>Fe</t>
  </si>
  <si>
    <t>B</t>
  </si>
  <si>
    <t xml:space="preserve">Actual #s </t>
  </si>
  <si>
    <t>Dry</t>
  </si>
  <si>
    <t>Liquid</t>
  </si>
  <si>
    <t>na</t>
  </si>
  <si>
    <t xml:space="preserve">Total Dry </t>
  </si>
  <si>
    <t xml:space="preserve">Total Liquid </t>
  </si>
  <si>
    <t>Yield Goal</t>
  </si>
  <si>
    <t>Corn Removal</t>
  </si>
  <si>
    <t>Soy Removal</t>
  </si>
  <si>
    <t>Wheat Removal</t>
  </si>
  <si>
    <t>Total Dry</t>
  </si>
  <si>
    <t>Total Liquid</t>
  </si>
  <si>
    <t>306 N Caroline St. Middleton, MI 48856</t>
  </si>
  <si>
    <t>UAN 28%</t>
  </si>
  <si>
    <t>10-34-0</t>
  </si>
  <si>
    <t>ATS</t>
  </si>
  <si>
    <t>KTS</t>
  </si>
  <si>
    <t>28-0-0</t>
  </si>
  <si>
    <t>12-0-0-26S</t>
  </si>
  <si>
    <t>0-0-25-17S</t>
  </si>
  <si>
    <t>4 10 10</t>
  </si>
  <si>
    <t>Lbs/ac or Gal</t>
  </si>
  <si>
    <t>Total Nutrients</t>
  </si>
  <si>
    <t>Acres:</t>
  </si>
  <si>
    <t>Dry Analysis</t>
  </si>
  <si>
    <t>Liquid Analysis</t>
  </si>
  <si>
    <t>Total Gal/ac</t>
  </si>
  <si>
    <t>Total Lbs/ac</t>
  </si>
  <si>
    <t>Total Lbs  Dry</t>
  </si>
  <si>
    <t>Total Tons Dry</t>
  </si>
  <si>
    <t>Cost per Acre Liquid</t>
  </si>
  <si>
    <t>Est. Cost/ton Liquid</t>
  </si>
  <si>
    <t>Total Gal Liquid</t>
  </si>
  <si>
    <t>THANK YOU FOR YOUR BUSINESS!</t>
  </si>
  <si>
    <t xml:space="preserve">Date: </t>
  </si>
  <si>
    <t>Previous Crop:</t>
  </si>
  <si>
    <r>
      <rPr>
        <b/>
        <i/>
        <u/>
        <sz val="20"/>
        <rFont val="Calibri"/>
        <family val="2"/>
        <scheme val="minor"/>
      </rPr>
      <t>Sales Person:</t>
    </r>
    <r>
      <rPr>
        <b/>
        <i/>
        <sz val="20"/>
        <rFont val="Calibri"/>
        <family val="2"/>
        <scheme val="minor"/>
      </rPr>
      <t xml:space="preserve"> </t>
    </r>
  </si>
  <si>
    <r>
      <rPr>
        <b/>
        <i/>
        <u/>
        <sz val="20"/>
        <rFont val="Calibri"/>
        <family val="2"/>
        <scheme val="minor"/>
      </rPr>
      <t>Crop:</t>
    </r>
    <r>
      <rPr>
        <b/>
        <i/>
        <sz val="20"/>
        <rFont val="Calibri"/>
        <family val="2"/>
        <scheme val="minor"/>
      </rPr>
      <t xml:space="preserve"> </t>
    </r>
  </si>
  <si>
    <r>
      <rPr>
        <b/>
        <i/>
        <u/>
        <sz val="20"/>
        <rFont val="Calibri"/>
        <family val="2"/>
        <scheme val="minor"/>
      </rPr>
      <t>Tillage Type:</t>
    </r>
    <r>
      <rPr>
        <b/>
        <i/>
        <sz val="20"/>
        <rFont val="Calibri"/>
        <family val="2"/>
        <scheme val="minor"/>
      </rPr>
      <t xml:space="preserve"> </t>
    </r>
  </si>
  <si>
    <t>Cost/Acre Dry</t>
  </si>
  <si>
    <t xml:space="preserve"> Cost/Ton Dry</t>
  </si>
  <si>
    <t>Timing of AP</t>
  </si>
  <si>
    <t>Total Cost/Acre  Plant Nutrition</t>
  </si>
  <si>
    <t>Name:</t>
  </si>
  <si>
    <t xml:space="preserve">  CROP NUTRITION PLAN                                                   989-236-7263</t>
  </si>
  <si>
    <t>Pell Lime</t>
  </si>
  <si>
    <t>0-0-0-21Ca-12Mg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</si>
</sst>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8"/>
      <color rgb="FFFF0000"/>
      <name val="Arial"/>
      <family val="2"/>
    </font>
    <font>
      <b/>
      <sz val="18"/>
      <name val="Arial"/>
      <family val="2"/>
    </font>
    <font>
      <b/>
      <i/>
      <sz val="2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Aparajita"/>
      <family val="2"/>
    </font>
    <font>
      <b/>
      <i/>
      <sz val="16"/>
      <color theme="1"/>
      <name val="Calibri"/>
      <family val="2"/>
      <scheme val="minor"/>
    </font>
    <font>
      <b/>
      <i/>
      <u/>
      <sz val="20"/>
      <name val="Calibri"/>
      <family val="2"/>
      <scheme val="minor"/>
    </font>
    <font>
      <b/>
      <i/>
      <sz val="2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9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9"/>
      </left>
      <right style="thick">
        <color theme="9"/>
      </right>
      <top style="thick">
        <color theme="9"/>
      </top>
      <bottom style="thick">
        <color theme="9"/>
      </bottom>
      <diagonal/>
    </border>
    <border>
      <left style="medium">
        <color theme="9"/>
      </left>
      <right style="thick">
        <color theme="9"/>
      </right>
      <top style="medium">
        <color theme="9"/>
      </top>
      <bottom style="medium">
        <color theme="9"/>
      </bottom>
      <diagonal/>
    </border>
    <border>
      <left style="thick">
        <color theme="9"/>
      </left>
      <right style="thick">
        <color theme="9"/>
      </right>
      <top style="medium">
        <color theme="9"/>
      </top>
      <bottom style="medium">
        <color theme="9"/>
      </bottom>
      <diagonal/>
    </border>
    <border>
      <left/>
      <right/>
      <top/>
      <bottom style="medium">
        <color indexed="64"/>
      </bottom>
      <diagonal/>
    </border>
    <border>
      <left style="thick">
        <color theme="9"/>
      </left>
      <right/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0" fontId="3" fillId="0" borderId="0" xfId="0" applyNumberFormat="1" applyFont="1" applyBorder="1"/>
    <xf numFmtId="0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 applyBorder="1"/>
    <xf numFmtId="0" fontId="3" fillId="0" borderId="0" xfId="0" applyNumberFormat="1" applyFont="1" applyFill="1" applyBorder="1"/>
    <xf numFmtId="9" fontId="3" fillId="0" borderId="0" xfId="0" applyNumberFormat="1" applyFont="1" applyBorder="1"/>
    <xf numFmtId="0" fontId="3" fillId="0" borderId="0" xfId="0" applyNumberFormat="1" applyFont="1" applyBorder="1" applyProtection="1">
      <protection locked="0"/>
    </xf>
    <xf numFmtId="0" fontId="3" fillId="0" borderId="0" xfId="0" quotePrefix="1" applyNumberFormat="1" applyFont="1" applyBorder="1"/>
    <xf numFmtId="9" fontId="3" fillId="0" borderId="0" xfId="0" applyNumberFormat="1" applyFont="1" applyAlignment="1">
      <alignment horizontal="left"/>
    </xf>
    <xf numFmtId="0" fontId="3" fillId="2" borderId="0" xfId="0" applyNumberFormat="1" applyFont="1" applyFill="1" applyBorder="1" applyProtection="1">
      <protection locked="0"/>
    </xf>
    <xf numFmtId="0" fontId="3" fillId="2" borderId="0" xfId="0" applyNumberFormat="1" applyFont="1" applyFill="1" applyBorder="1"/>
    <xf numFmtId="0" fontId="3" fillId="2" borderId="0" xfId="0" applyNumberFormat="1" applyFont="1" applyFill="1"/>
    <xf numFmtId="0" fontId="5" fillId="3" borderId="0" xfId="0" applyNumberFormat="1" applyFont="1" applyFill="1"/>
    <xf numFmtId="44" fontId="3" fillId="0" borderId="0" xfId="1" applyFont="1"/>
    <xf numFmtId="9" fontId="3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Protection="1">
      <protection locked="0"/>
    </xf>
    <xf numFmtId="1" fontId="3" fillId="0" borderId="0" xfId="0" applyNumberFormat="1" applyFont="1"/>
    <xf numFmtId="0" fontId="0" fillId="0" borderId="0" xfId="0" applyBorder="1" applyAlignment="1">
      <alignment horizontal="center"/>
    </xf>
    <xf numFmtId="0" fontId="0" fillId="0" borderId="0" xfId="1" applyNumberFormat="1" applyFont="1" applyAlignment="1">
      <alignment horizontal="center"/>
    </xf>
    <xf numFmtId="0" fontId="0" fillId="0" borderId="0" xfId="0" applyBorder="1"/>
    <xf numFmtId="0" fontId="0" fillId="0" borderId="0" xfId="0" applyAlignment="1"/>
    <xf numFmtId="14" fontId="2" fillId="0" borderId="0" xfId="0" applyNumberFormat="1" applyFont="1"/>
    <xf numFmtId="0" fontId="2" fillId="0" borderId="0" xfId="0" applyNumberFormat="1" applyFont="1"/>
    <xf numFmtId="0" fontId="8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/>
    <xf numFmtId="0" fontId="0" fillId="0" borderId="3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right"/>
    </xf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/>
    <xf numFmtId="0" fontId="9" fillId="0" borderId="0" xfId="0" applyFont="1"/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Fill="1" applyBorder="1" applyAlignment="1"/>
    <xf numFmtId="0" fontId="7" fillId="0" borderId="9" xfId="0" applyFont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/>
    <xf numFmtId="0" fontId="9" fillId="0" borderId="9" xfId="0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7" fillId="0" borderId="1" xfId="0" applyFont="1" applyFill="1" applyBorder="1"/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15" fillId="0" borderId="0" xfId="0" applyNumberFormat="1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0" fontId="18" fillId="7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right" vertical="center"/>
    </xf>
    <xf numFmtId="44" fontId="18" fillId="7" borderId="14" xfId="1" applyFont="1" applyFill="1" applyBorder="1" applyAlignment="1">
      <alignment horizontal="center" vertical="center"/>
    </xf>
    <xf numFmtId="44" fontId="18" fillId="7" borderId="0" xfId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44" fontId="19" fillId="0" borderId="10" xfId="1" applyFont="1" applyFill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16" fillId="8" borderId="0" xfId="0" applyFont="1" applyFill="1" applyBorder="1" applyAlignment="1">
      <alignment horizontal="left"/>
    </xf>
    <xf numFmtId="0" fontId="10" fillId="8" borderId="1" xfId="1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</xdr:colOff>
      <xdr:row>0</xdr:row>
      <xdr:rowOff>63500</xdr:rowOff>
    </xdr:from>
    <xdr:to>
      <xdr:col>11</xdr:col>
      <xdr:colOff>492125</xdr:colOff>
      <xdr:row>14</xdr:row>
      <xdr:rowOff>120650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" y="63500"/>
          <a:ext cx="11477625" cy="2819400"/>
        </a:xfrm>
        <a:prstGeom prst="rect">
          <a:avLst/>
        </a:prstGeom>
      </xdr:spPr>
    </xdr:pic>
    <xdr:clientData/>
  </xdr:twoCellAnchor>
  <xdr:oneCellAnchor>
    <xdr:from>
      <xdr:col>3</xdr:col>
      <xdr:colOff>1181098</xdr:colOff>
      <xdr:row>18</xdr:row>
      <xdr:rowOff>19051</xdr:rowOff>
    </xdr:from>
    <xdr:ext cx="8296277" cy="3110592"/>
    <xdr:sp macro="" textlink="">
      <xdr:nvSpPr>
        <xdr:cNvPr id="3" name="TextBox 2"/>
        <xdr:cNvSpPr txBox="1"/>
      </xdr:nvSpPr>
      <xdr:spPr>
        <a:xfrm>
          <a:off x="4086223" y="3733801"/>
          <a:ext cx="8296277" cy="311059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2000" baseline="0"/>
            <a:t>Notes: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2"/>
  <sheetViews>
    <sheetView tabSelected="1" view="pageBreakPreview" zoomScale="60" zoomScaleNormal="70" workbookViewId="0">
      <selection activeCell="B53" sqref="B53:B55"/>
    </sheetView>
  </sheetViews>
  <sheetFormatPr defaultRowHeight="15" x14ac:dyDescent="0.25"/>
  <cols>
    <col min="1" max="1" width="10.5703125" bestFit="1" customWidth="1"/>
    <col min="2" max="2" width="23" bestFit="1" customWidth="1"/>
    <col min="3" max="3" width="7" bestFit="1" customWidth="1"/>
    <col min="4" max="4" width="17.7109375" bestFit="1" customWidth="1"/>
    <col min="5" max="5" width="13.7109375" customWidth="1"/>
    <col min="6" max="6" width="14.140625" customWidth="1"/>
    <col min="7" max="7" width="15.5703125" customWidth="1"/>
    <col min="8" max="8" width="16.28515625" customWidth="1"/>
    <col min="9" max="9" width="15.85546875" customWidth="1"/>
    <col min="10" max="10" width="16.42578125" customWidth="1"/>
    <col min="11" max="11" width="16" customWidth="1"/>
  </cols>
  <sheetData>
    <row r="1" spans="1:13" x14ac:dyDescent="0.25">
      <c r="L1" s="21"/>
      <c r="M1" s="21"/>
    </row>
    <row r="2" spans="1:13" x14ac:dyDescent="0.25">
      <c r="L2" s="21"/>
      <c r="M2" s="21"/>
    </row>
    <row r="3" spans="1:13" x14ac:dyDescent="0.25">
      <c r="L3" s="21"/>
      <c r="M3" s="21"/>
    </row>
    <row r="4" spans="1:13" x14ac:dyDescent="0.25">
      <c r="L4" s="21"/>
      <c r="M4" s="21"/>
    </row>
    <row r="5" spans="1:13" x14ac:dyDescent="0.25">
      <c r="L5" s="21"/>
      <c r="M5" s="21"/>
    </row>
    <row r="6" spans="1:13" ht="18.75" x14ac:dyDescent="0.3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21"/>
      <c r="M6" s="21"/>
    </row>
    <row r="7" spans="1:13" ht="18.75" x14ac:dyDescent="0.3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21"/>
      <c r="M7" s="21"/>
    </row>
    <row r="8" spans="1:13" x14ac:dyDescent="0.25">
      <c r="A8" s="79"/>
      <c r="B8" s="79"/>
      <c r="C8" s="79"/>
      <c r="D8" s="79"/>
      <c r="E8" s="33"/>
      <c r="F8" s="31"/>
      <c r="G8" s="31"/>
      <c r="H8" s="31"/>
      <c r="I8" s="31"/>
      <c r="J8" s="31"/>
      <c r="K8" s="32"/>
      <c r="L8" s="21"/>
      <c r="M8" s="21"/>
    </row>
    <row r="9" spans="1:13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34"/>
      <c r="L9" s="21"/>
      <c r="M9" s="21"/>
    </row>
    <row r="10" spans="1:13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34"/>
      <c r="L10" s="21"/>
      <c r="M10" s="21"/>
    </row>
    <row r="11" spans="1:13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34"/>
      <c r="L11" s="21"/>
      <c r="M11" s="21"/>
    </row>
    <row r="12" spans="1:13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34"/>
      <c r="L12" s="21"/>
      <c r="M12" s="21"/>
    </row>
    <row r="13" spans="1:13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34"/>
      <c r="L13" s="21"/>
      <c r="M13" s="21"/>
    </row>
    <row r="14" spans="1:13" x14ac:dyDescent="0.2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34"/>
      <c r="L14" s="21"/>
      <c r="M14" s="21"/>
    </row>
    <row r="15" spans="1:13" ht="15" customHeight="1" x14ac:dyDescent="0.25">
      <c r="A15" s="83" t="s">
        <v>54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21"/>
    </row>
    <row r="16" spans="1:13" x14ac:dyDescent="0.25">
      <c r="A16" s="83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21"/>
    </row>
    <row r="17" spans="1:14" ht="26.25" customHeight="1" x14ac:dyDescent="0.25">
      <c r="A17" s="82" t="s">
        <v>86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21"/>
    </row>
    <row r="18" spans="1:14" ht="18.75" customHeight="1" x14ac:dyDescent="0.2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21"/>
    </row>
    <row r="19" spans="1:14" ht="26.25" x14ac:dyDescent="0.4">
      <c r="A19" s="75" t="s">
        <v>85</v>
      </c>
      <c r="B19" s="74"/>
      <c r="C19" s="74"/>
      <c r="D19" s="74"/>
      <c r="E19" s="22"/>
      <c r="L19" s="21"/>
      <c r="M19" s="21"/>
    </row>
    <row r="20" spans="1:14" ht="26.25" x14ac:dyDescent="0.4">
      <c r="A20" s="80" t="s">
        <v>76</v>
      </c>
      <c r="B20" s="81"/>
      <c r="C20" s="81"/>
      <c r="D20" s="81"/>
      <c r="J20" s="30"/>
      <c r="L20" s="21"/>
      <c r="M20" s="21"/>
    </row>
    <row r="21" spans="1:14" ht="26.25" x14ac:dyDescent="0.4">
      <c r="A21" s="74" t="s">
        <v>78</v>
      </c>
      <c r="B21" s="74"/>
      <c r="C21" s="74"/>
      <c r="D21" s="74"/>
      <c r="H21" s="29"/>
      <c r="L21" s="21"/>
      <c r="M21" s="21"/>
    </row>
    <row r="22" spans="1:14" ht="26.25" x14ac:dyDescent="0.4">
      <c r="A22" s="74" t="s">
        <v>79</v>
      </c>
      <c r="B22" s="74"/>
      <c r="C22" s="74"/>
      <c r="D22" s="74"/>
      <c r="L22" s="21"/>
      <c r="M22" s="21"/>
    </row>
    <row r="23" spans="1:14" ht="26.25" x14ac:dyDescent="0.4">
      <c r="A23" s="40" t="s">
        <v>65</v>
      </c>
      <c r="B23" s="100"/>
      <c r="C23" s="100"/>
      <c r="D23" s="100"/>
      <c r="E23" s="22"/>
      <c r="F23" s="22"/>
      <c r="G23" s="22"/>
      <c r="H23" s="22"/>
      <c r="I23" s="22"/>
      <c r="J23" s="22"/>
      <c r="K23" s="22"/>
      <c r="L23" s="34"/>
      <c r="M23" s="34"/>
    </row>
    <row r="24" spans="1:14" ht="26.25" x14ac:dyDescent="0.4">
      <c r="A24" s="74" t="s">
        <v>80</v>
      </c>
      <c r="B24" s="74"/>
      <c r="C24" s="74"/>
      <c r="D24" s="74"/>
      <c r="E24" s="22"/>
      <c r="F24" s="22"/>
      <c r="G24" s="22"/>
      <c r="H24" s="22"/>
      <c r="I24" s="22"/>
      <c r="J24" s="22"/>
      <c r="K24" s="22"/>
      <c r="L24" s="34"/>
      <c r="M24" s="34"/>
    </row>
    <row r="25" spans="1:14" ht="26.25" customHeight="1" x14ac:dyDescent="0.4">
      <c r="A25" s="75" t="s">
        <v>77</v>
      </c>
      <c r="B25" s="75"/>
      <c r="C25" s="75"/>
      <c r="D25" s="75"/>
      <c r="E25" s="36"/>
      <c r="F25" s="36"/>
      <c r="G25" s="36"/>
      <c r="H25" s="36"/>
      <c r="I25" s="36"/>
      <c r="J25" s="36"/>
      <c r="K25" s="36"/>
      <c r="L25" s="19"/>
      <c r="M25" s="19"/>
    </row>
    <row r="26" spans="1:14" ht="18.75" customHeight="1" x14ac:dyDescent="0.3">
      <c r="A26" s="76"/>
      <c r="B26" s="76"/>
      <c r="C26" s="76"/>
      <c r="D26" s="76"/>
      <c r="E26" s="25"/>
      <c r="F26" s="25"/>
      <c r="G26" s="25"/>
      <c r="H26" s="25"/>
      <c r="I26" s="25"/>
      <c r="J26" s="25"/>
      <c r="K26" s="25"/>
      <c r="L26" s="26"/>
      <c r="M26" s="26"/>
    </row>
    <row r="27" spans="1:14" ht="18.75" customHeight="1" x14ac:dyDescent="0.3">
      <c r="A27" s="76"/>
      <c r="B27" s="76"/>
      <c r="C27" s="76"/>
      <c r="D27" s="76"/>
      <c r="E27" s="25"/>
      <c r="F27" s="25"/>
      <c r="G27" s="25"/>
      <c r="H27" s="25"/>
      <c r="I27" s="25"/>
      <c r="J27" s="25"/>
      <c r="K27" s="25"/>
      <c r="L27" s="26"/>
      <c r="M27" s="26"/>
    </row>
    <row r="28" spans="1:14" ht="18.75" customHeight="1" x14ac:dyDescent="0.3">
      <c r="A28" s="76"/>
      <c r="B28" s="76"/>
      <c r="C28" s="76"/>
      <c r="D28" s="76"/>
      <c r="E28" s="25"/>
      <c r="F28" s="25"/>
      <c r="G28" s="25"/>
      <c r="H28" s="25"/>
      <c r="I28" s="25"/>
      <c r="J28" s="25"/>
      <c r="K28" s="25"/>
      <c r="L28" s="26"/>
      <c r="M28" s="26"/>
    </row>
    <row r="29" spans="1:14" ht="15.75" customHeight="1" thickBot="1" x14ac:dyDescent="0.3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21"/>
      <c r="M29" s="21"/>
    </row>
    <row r="30" spans="1:14" ht="19.5" thickBot="1" x14ac:dyDescent="0.35">
      <c r="A30" s="54" t="s">
        <v>12</v>
      </c>
      <c r="B30" s="59" t="s">
        <v>11</v>
      </c>
      <c r="C30" s="54" t="s">
        <v>10</v>
      </c>
      <c r="D30" s="59" t="s">
        <v>83</v>
      </c>
      <c r="E30" s="54" t="s">
        <v>63</v>
      </c>
      <c r="F30" s="59" t="s">
        <v>6</v>
      </c>
      <c r="G30" s="59" t="s">
        <v>25</v>
      </c>
      <c r="H30" s="59" t="s">
        <v>26</v>
      </c>
      <c r="I30" s="59" t="s">
        <v>7</v>
      </c>
      <c r="J30" s="59" t="s">
        <v>36</v>
      </c>
      <c r="K30" s="59" t="s">
        <v>35</v>
      </c>
      <c r="L30" s="59" t="s">
        <v>37</v>
      </c>
      <c r="M30" s="21"/>
      <c r="N30" s="21"/>
    </row>
    <row r="31" spans="1:14" ht="23.25" customHeight="1" thickBot="1" x14ac:dyDescent="0.3">
      <c r="A31" s="55" t="s">
        <v>13</v>
      </c>
      <c r="B31" s="56" t="s">
        <v>0</v>
      </c>
      <c r="C31" s="101">
        <v>290</v>
      </c>
      <c r="D31" s="101"/>
      <c r="E31" s="102"/>
      <c r="F31" s="60">
        <f>SUM(E31/100)*21</f>
        <v>0</v>
      </c>
      <c r="G31" s="60"/>
      <c r="H31" s="60"/>
      <c r="I31" s="60">
        <f>SUM(E31/100)*24</f>
        <v>0</v>
      </c>
      <c r="J31" s="60"/>
      <c r="K31" s="60"/>
      <c r="L31" s="60"/>
      <c r="M31" s="21"/>
      <c r="N31" s="21"/>
    </row>
    <row r="32" spans="1:14" ht="23.25" customHeight="1" thickBot="1" x14ac:dyDescent="0.3">
      <c r="A32" s="55" t="s">
        <v>14</v>
      </c>
      <c r="B32" s="56" t="s">
        <v>1</v>
      </c>
      <c r="C32" s="101">
        <v>315</v>
      </c>
      <c r="D32" s="101"/>
      <c r="E32" s="102"/>
      <c r="F32" s="60"/>
      <c r="G32" s="60"/>
      <c r="H32" s="60">
        <f>SUM(E32/100)*60</f>
        <v>0</v>
      </c>
      <c r="I32" s="60"/>
      <c r="J32" s="60"/>
      <c r="K32" s="60"/>
      <c r="L32" s="60"/>
      <c r="M32" s="21"/>
      <c r="N32" s="21"/>
    </row>
    <row r="33" spans="1:14" ht="23.25" customHeight="1" thickBot="1" x14ac:dyDescent="0.3">
      <c r="A33" s="55" t="s">
        <v>15</v>
      </c>
      <c r="B33" s="56" t="s">
        <v>2</v>
      </c>
      <c r="C33" s="101">
        <v>370</v>
      </c>
      <c r="D33" s="101"/>
      <c r="E33" s="102"/>
      <c r="F33" s="60">
        <f>SUM(E33/100)*46</f>
        <v>0</v>
      </c>
      <c r="G33" s="60"/>
      <c r="H33" s="60"/>
      <c r="I33" s="60"/>
      <c r="J33" s="60"/>
      <c r="K33" s="60"/>
      <c r="L33" s="60"/>
      <c r="M33" s="21"/>
      <c r="N33" s="21"/>
    </row>
    <row r="34" spans="1:14" ht="23.25" customHeight="1" thickBot="1" x14ac:dyDescent="0.3">
      <c r="A34" s="55" t="s">
        <v>16</v>
      </c>
      <c r="B34" s="56" t="s">
        <v>3</v>
      </c>
      <c r="C34" s="101">
        <v>490</v>
      </c>
      <c r="D34" s="101"/>
      <c r="E34" s="102"/>
      <c r="F34" s="60">
        <f>SUM(E34/100)*11</f>
        <v>0</v>
      </c>
      <c r="G34" s="60">
        <f>SUM(E34/100)*52</f>
        <v>0</v>
      </c>
      <c r="H34" s="60"/>
      <c r="I34" s="60"/>
      <c r="J34" s="60"/>
      <c r="K34" s="60"/>
      <c r="L34" s="60"/>
      <c r="M34" s="21"/>
      <c r="N34" s="21"/>
    </row>
    <row r="35" spans="1:14" ht="23.25" customHeight="1" thickBot="1" x14ac:dyDescent="0.3">
      <c r="A35" s="55" t="s">
        <v>17</v>
      </c>
      <c r="B35" s="56" t="s">
        <v>4</v>
      </c>
      <c r="C35" s="101">
        <v>520</v>
      </c>
      <c r="D35" s="101"/>
      <c r="E35" s="102"/>
      <c r="F35" s="60">
        <f>SUM(E35/100)*12</f>
        <v>0</v>
      </c>
      <c r="G35" s="60">
        <f>SUM(E35/100)*40</f>
        <v>0</v>
      </c>
      <c r="H35" s="60"/>
      <c r="I35" s="60">
        <f>SUM(E35/100)*10</f>
        <v>0</v>
      </c>
      <c r="J35" s="60"/>
      <c r="K35" s="60"/>
      <c r="L35" s="60">
        <f>SUM(E35/100)*1</f>
        <v>0</v>
      </c>
      <c r="M35" s="21"/>
      <c r="N35" s="21"/>
    </row>
    <row r="36" spans="1:14" ht="23.25" customHeight="1" thickBot="1" x14ac:dyDescent="0.3">
      <c r="A36" s="55" t="s">
        <v>18</v>
      </c>
      <c r="B36" s="56" t="s">
        <v>5</v>
      </c>
      <c r="C36" s="101">
        <v>470</v>
      </c>
      <c r="D36" s="101"/>
      <c r="E36" s="102"/>
      <c r="F36" s="60">
        <f>SUM(E36/100)*46</f>
        <v>0</v>
      </c>
      <c r="G36" s="60"/>
      <c r="H36" s="60"/>
      <c r="I36" s="60"/>
      <c r="J36" s="60"/>
      <c r="K36" s="60"/>
      <c r="L36" s="60"/>
      <c r="M36" s="21"/>
      <c r="N36" s="21"/>
    </row>
    <row r="37" spans="1:14" ht="23.25" customHeight="1" thickBot="1" x14ac:dyDescent="0.3">
      <c r="A37" s="55" t="s">
        <v>19</v>
      </c>
      <c r="B37" s="56" t="s">
        <v>8</v>
      </c>
      <c r="C37" s="101">
        <v>325</v>
      </c>
      <c r="D37" s="101"/>
      <c r="E37" s="102"/>
      <c r="F37" s="60"/>
      <c r="G37" s="60"/>
      <c r="H37" s="60">
        <f>SUM(E37/100)*22</f>
        <v>0</v>
      </c>
      <c r="I37" s="60">
        <f>SUM(E37/100)*22</f>
        <v>0</v>
      </c>
      <c r="J37" s="60">
        <f>SUM(E37/100)*11</f>
        <v>0</v>
      </c>
      <c r="K37" s="60"/>
      <c r="L37" s="60"/>
      <c r="M37" s="21"/>
      <c r="N37" s="21"/>
    </row>
    <row r="38" spans="1:14" ht="23.25" customHeight="1" thickBot="1" x14ac:dyDescent="0.3">
      <c r="A38" s="55" t="s">
        <v>20</v>
      </c>
      <c r="B38" s="56" t="s">
        <v>9</v>
      </c>
      <c r="C38" s="101">
        <v>185</v>
      </c>
      <c r="D38" s="101"/>
      <c r="E38" s="102"/>
      <c r="F38" s="60"/>
      <c r="G38" s="60"/>
      <c r="H38" s="60"/>
      <c r="I38" s="60">
        <f>SUM(E38/100)*17</f>
        <v>0</v>
      </c>
      <c r="J38" s="60"/>
      <c r="K38" s="60">
        <f>SUM(E38/100)*21</f>
        <v>0</v>
      </c>
      <c r="L38" s="60"/>
      <c r="M38" s="21"/>
      <c r="N38" s="21"/>
    </row>
    <row r="39" spans="1:14" ht="23.25" customHeight="1" thickBot="1" x14ac:dyDescent="0.3">
      <c r="A39" s="55" t="s">
        <v>87</v>
      </c>
      <c r="B39" s="56" t="s">
        <v>88</v>
      </c>
      <c r="C39" s="101">
        <v>175</v>
      </c>
      <c r="D39" s="101"/>
      <c r="E39" s="102"/>
      <c r="F39" s="60"/>
      <c r="G39" s="60"/>
      <c r="H39" s="60"/>
      <c r="I39" s="60"/>
      <c r="J39" s="60">
        <f>SUM(E39/100)*12</f>
        <v>0</v>
      </c>
      <c r="K39" s="60">
        <f>SUM(E39/100)*21</f>
        <v>0</v>
      </c>
      <c r="L39" s="60"/>
      <c r="M39" s="21"/>
      <c r="N39" s="21"/>
    </row>
    <row r="40" spans="1:14" ht="23.25" customHeight="1" thickBot="1" x14ac:dyDescent="0.3">
      <c r="A40" s="55" t="s">
        <v>55</v>
      </c>
      <c r="B40" s="56" t="s">
        <v>59</v>
      </c>
      <c r="C40" s="101">
        <v>252</v>
      </c>
      <c r="D40" s="101"/>
      <c r="E40" s="102"/>
      <c r="F40" s="60">
        <f>SUM(560/187.79)*E40</f>
        <v>0</v>
      </c>
      <c r="G40" s="60"/>
      <c r="H40" s="60"/>
      <c r="I40" s="60"/>
      <c r="J40" s="60"/>
      <c r="K40" s="60"/>
      <c r="L40" s="60"/>
      <c r="M40" s="21"/>
      <c r="N40" s="21"/>
    </row>
    <row r="41" spans="1:14" ht="23.25" customHeight="1" thickBot="1" x14ac:dyDescent="0.3">
      <c r="A41" s="55" t="s">
        <v>56</v>
      </c>
      <c r="B41" s="56" t="s">
        <v>56</v>
      </c>
      <c r="C41" s="101">
        <v>425</v>
      </c>
      <c r="D41" s="101"/>
      <c r="E41" s="102"/>
      <c r="F41" s="60">
        <f>SUM(1.17)*E41</f>
        <v>0</v>
      </c>
      <c r="G41" s="60">
        <f>SUM(680/170.94)*E41</f>
        <v>0</v>
      </c>
      <c r="H41" s="60"/>
      <c r="I41" s="60"/>
      <c r="J41" s="60"/>
      <c r="K41" s="60"/>
      <c r="L41" s="60"/>
      <c r="M41" s="21"/>
      <c r="N41" s="21"/>
    </row>
    <row r="42" spans="1:14" ht="23.25" customHeight="1" thickBot="1" x14ac:dyDescent="0.3">
      <c r="A42" s="55" t="s">
        <v>57</v>
      </c>
      <c r="B42" s="56" t="s">
        <v>60</v>
      </c>
      <c r="C42" s="101">
        <v>290</v>
      </c>
      <c r="D42" s="101"/>
      <c r="E42" s="102"/>
      <c r="F42" s="60">
        <f>SUM(240/180.18)*E42</f>
        <v>0</v>
      </c>
      <c r="G42" s="60"/>
      <c r="H42" s="60"/>
      <c r="I42" s="60">
        <f>SUM(520/180.18)*E42</f>
        <v>0</v>
      </c>
      <c r="J42" s="60"/>
      <c r="K42" s="60"/>
      <c r="L42" s="60"/>
      <c r="M42" s="21"/>
      <c r="N42" s="21"/>
    </row>
    <row r="43" spans="1:14" ht="23.25" customHeight="1" thickBot="1" x14ac:dyDescent="0.3">
      <c r="A43" s="55" t="s">
        <v>58</v>
      </c>
      <c r="B43" s="56" t="s">
        <v>61</v>
      </c>
      <c r="C43" s="101">
        <v>690</v>
      </c>
      <c r="D43" s="101"/>
      <c r="E43" s="102"/>
      <c r="F43" s="60"/>
      <c r="G43" s="60"/>
      <c r="H43" s="60">
        <f>SUM(500/163.93)*E43</f>
        <v>0</v>
      </c>
      <c r="I43" s="60">
        <f>SUM(340/163.93)*E43</f>
        <v>0</v>
      </c>
      <c r="J43" s="60"/>
      <c r="K43" s="60"/>
      <c r="L43" s="60"/>
      <c r="M43" s="21"/>
      <c r="N43" s="21"/>
    </row>
    <row r="44" spans="1:14" ht="23.25" customHeight="1" thickBot="1" x14ac:dyDescent="0.3">
      <c r="A44" s="57" t="s">
        <v>62</v>
      </c>
      <c r="B44" s="58" t="s">
        <v>62</v>
      </c>
      <c r="C44" s="101">
        <v>235</v>
      </c>
      <c r="D44" s="101"/>
      <c r="E44" s="102"/>
      <c r="F44" s="60">
        <f>SUM(80/194.17)*E44</f>
        <v>0</v>
      </c>
      <c r="G44" s="60">
        <f>SUM(200/194.17)*E44</f>
        <v>0</v>
      </c>
      <c r="H44" s="60">
        <f>SUM(200/194.17)*E44</f>
        <v>0</v>
      </c>
      <c r="I44" s="60"/>
      <c r="J44" s="60"/>
      <c r="K44" s="60"/>
      <c r="L44" s="60"/>
      <c r="M44" s="21"/>
      <c r="N44" s="21"/>
    </row>
    <row r="45" spans="1:14" x14ac:dyDescent="0.25">
      <c r="A45" s="24"/>
      <c r="B45" s="23"/>
      <c r="C45" s="20"/>
      <c r="D45" s="1"/>
      <c r="E45" s="35"/>
      <c r="F45" s="35"/>
      <c r="G45" s="35"/>
      <c r="H45" s="35"/>
      <c r="I45" s="35"/>
      <c r="L45" s="21"/>
      <c r="M45" s="21"/>
    </row>
    <row r="46" spans="1:14" ht="18.75" x14ac:dyDescent="0.25">
      <c r="A46" s="24"/>
      <c r="B46" s="23"/>
      <c r="C46" s="20"/>
      <c r="D46" s="1"/>
      <c r="E46" s="45" t="s">
        <v>69</v>
      </c>
      <c r="L46" s="21"/>
      <c r="M46" s="21"/>
    </row>
    <row r="47" spans="1:14" ht="18.75" x14ac:dyDescent="0.25">
      <c r="A47" s="24"/>
      <c r="B47" s="23"/>
      <c r="C47" s="20"/>
      <c r="D47" s="1"/>
      <c r="E47" s="52">
        <f>SUM(E31:E39)</f>
        <v>0</v>
      </c>
      <c r="L47" s="21"/>
      <c r="M47" s="21"/>
    </row>
    <row r="48" spans="1:14" ht="23.25" customHeight="1" x14ac:dyDescent="0.3">
      <c r="A48" s="41"/>
      <c r="B48" s="41"/>
      <c r="C48" s="41"/>
      <c r="E48" s="45" t="s">
        <v>68</v>
      </c>
      <c r="F48" s="41"/>
      <c r="G48" s="41"/>
      <c r="H48" s="41"/>
      <c r="I48" s="41"/>
      <c r="J48" s="41"/>
      <c r="K48" s="41"/>
      <c r="L48" s="21"/>
      <c r="M48" s="21"/>
    </row>
    <row r="49" spans="1:14" ht="23.25" customHeight="1" thickBot="1" x14ac:dyDescent="0.35">
      <c r="A49" s="41"/>
      <c r="B49" s="41"/>
      <c r="C49" s="41"/>
      <c r="E49" s="52">
        <f>SUM(E40:E44)</f>
        <v>0</v>
      </c>
      <c r="F49" s="44"/>
      <c r="G49" s="44"/>
      <c r="H49" s="44"/>
      <c r="I49" s="44"/>
      <c r="J49" s="44"/>
      <c r="K49" s="44"/>
      <c r="L49" s="21"/>
      <c r="M49" s="21"/>
    </row>
    <row r="50" spans="1:14" ht="23.25" customHeight="1" thickBot="1" x14ac:dyDescent="0.35">
      <c r="A50" s="41"/>
      <c r="B50" s="41"/>
      <c r="C50" s="41"/>
      <c r="F50" s="66" t="s">
        <v>6</v>
      </c>
      <c r="G50" s="66" t="s">
        <v>25</v>
      </c>
      <c r="H50" s="66" t="s">
        <v>26</v>
      </c>
      <c r="I50" s="66" t="s">
        <v>7</v>
      </c>
      <c r="J50" s="66" t="s">
        <v>36</v>
      </c>
      <c r="K50" s="66" t="s">
        <v>35</v>
      </c>
      <c r="L50" s="66" t="s">
        <v>37</v>
      </c>
      <c r="M50" s="21"/>
    </row>
    <row r="51" spans="1:14" ht="23.25" customHeight="1" thickBot="1" x14ac:dyDescent="0.35">
      <c r="A51" s="41"/>
      <c r="B51" s="41"/>
      <c r="C51" s="41"/>
      <c r="D51" s="94" t="s">
        <v>64</v>
      </c>
      <c r="E51" s="95"/>
      <c r="F51" s="67">
        <f>SUM(F31,F33,F34,F35,F36,F40,F41,F42,F44)</f>
        <v>0</v>
      </c>
      <c r="G51" s="68">
        <f>SUM(G34,G35,G41,G44)</f>
        <v>0</v>
      </c>
      <c r="H51" s="68">
        <f>SUM(H32,H37,H43,H44)</f>
        <v>0</v>
      </c>
      <c r="I51" s="68">
        <f>SUM(I31,I35,I37,I38,I42,I43)</f>
        <v>0</v>
      </c>
      <c r="J51" s="68">
        <f>SUM(J37,J39)</f>
        <v>0</v>
      </c>
      <c r="K51" s="69">
        <f>SUM(K38:K39)</f>
        <v>0</v>
      </c>
      <c r="L51" s="70">
        <f>SUM(L35)</f>
        <v>0</v>
      </c>
      <c r="M51" s="21"/>
      <c r="N51" s="21"/>
    </row>
    <row r="52" spans="1:14" ht="23.25" customHeight="1" thickBot="1" x14ac:dyDescent="0.35">
      <c r="A52" s="65" t="s">
        <v>21</v>
      </c>
      <c r="B52" s="65" t="s">
        <v>48</v>
      </c>
      <c r="C52" s="41"/>
      <c r="L52" s="21"/>
      <c r="M52" s="21"/>
    </row>
    <row r="53" spans="1:14" ht="23.25" customHeight="1" thickBot="1" x14ac:dyDescent="0.35">
      <c r="A53" s="46" t="s">
        <v>22</v>
      </c>
      <c r="B53" s="103"/>
      <c r="C53" s="41"/>
      <c r="D53" s="96" t="s">
        <v>49</v>
      </c>
      <c r="E53" s="96"/>
      <c r="F53" s="70">
        <f>SUM(B53*'Corn Removal'!B5)</f>
        <v>0</v>
      </c>
      <c r="G53" s="70">
        <f>SUM(B53*'Corn Removal'!B6)</f>
        <v>0</v>
      </c>
      <c r="H53" s="70">
        <f>SUM(B53*'Corn Removal'!B7)</f>
        <v>0</v>
      </c>
      <c r="I53" s="70">
        <f>SUM(B53*'Corn Removal'!B12)</f>
        <v>0</v>
      </c>
      <c r="J53" s="70">
        <f>SUM(B53*'Corn Removal'!B11)</f>
        <v>0</v>
      </c>
      <c r="K53" s="70">
        <f>SUM(B53*'Corn Removal'!B10)</f>
        <v>0</v>
      </c>
      <c r="L53" s="70">
        <f>SUM(B53*'Corn Removal'!B13)</f>
        <v>0</v>
      </c>
      <c r="M53" s="21"/>
      <c r="N53" s="21"/>
    </row>
    <row r="54" spans="1:14" ht="23.25" customHeight="1" thickBot="1" x14ac:dyDescent="0.35">
      <c r="A54" s="47" t="s">
        <v>23</v>
      </c>
      <c r="B54" s="103"/>
      <c r="C54" s="41"/>
      <c r="D54" s="96" t="s">
        <v>50</v>
      </c>
      <c r="E54" s="96"/>
      <c r="F54" s="70">
        <v>0</v>
      </c>
      <c r="G54" s="70">
        <f>SUM(B54*'Soybean Removal'!B6)</f>
        <v>0</v>
      </c>
      <c r="H54" s="70">
        <f>SUM(B54*'Soybean Removal'!B7)</f>
        <v>0</v>
      </c>
      <c r="I54" s="70">
        <f>SUM(B54*'Soybean Removal'!B12)</f>
        <v>0</v>
      </c>
      <c r="J54" s="70">
        <f>SUM(B54*'Soybean Removal'!B11)</f>
        <v>0</v>
      </c>
      <c r="K54" s="70">
        <f>SUM(B54*'Soybean Removal'!B10)</f>
        <v>0</v>
      </c>
      <c r="L54" s="70">
        <f>SUM(B54*'Soybean Removal'!B13)</f>
        <v>0</v>
      </c>
      <c r="M54" s="21"/>
      <c r="N54" s="21"/>
    </row>
    <row r="55" spans="1:14" ht="23.25" customHeight="1" thickBot="1" x14ac:dyDescent="0.35">
      <c r="A55" s="48" t="s">
        <v>24</v>
      </c>
      <c r="B55" s="103"/>
      <c r="C55" s="41"/>
      <c r="D55" s="96" t="s">
        <v>51</v>
      </c>
      <c r="E55" s="96"/>
      <c r="F55" s="70">
        <f>SUM(B55*'Wheat Removal'!B5)</f>
        <v>0</v>
      </c>
      <c r="G55" s="70">
        <f>SUM(B55*'Wheat Removal'!B6)</f>
        <v>0</v>
      </c>
      <c r="H55" s="70">
        <f>SUM(B55*'Wheat Removal'!B7)</f>
        <v>0</v>
      </c>
      <c r="I55" s="70">
        <f>SUM(B55*'Wheat Removal'!B12)</f>
        <v>0</v>
      </c>
      <c r="J55" s="70">
        <f>SUM(B55*'Wheat Removal'!B11)</f>
        <v>0</v>
      </c>
      <c r="K55" s="70">
        <f>SUM(B55*'Wheat Removal'!B10)</f>
        <v>0</v>
      </c>
      <c r="L55" s="70">
        <f>SUM(B55*'Wheat Removal'!B13)</f>
        <v>0</v>
      </c>
      <c r="M55" s="21"/>
      <c r="N55" s="21"/>
    </row>
    <row r="56" spans="1:14" ht="18.75" x14ac:dyDescent="0.3">
      <c r="A56" s="41"/>
      <c r="B56" s="49"/>
      <c r="C56" s="41"/>
      <c r="D56" s="41"/>
      <c r="E56" s="41"/>
      <c r="F56" s="50"/>
      <c r="G56" s="50"/>
      <c r="H56" s="50"/>
      <c r="I56" s="50"/>
      <c r="J56" s="50"/>
      <c r="K56" s="50"/>
      <c r="L56" s="50"/>
      <c r="M56" s="21"/>
      <c r="N56" s="21"/>
    </row>
    <row r="57" spans="1:14" ht="19.5" thickBot="1" x14ac:dyDescent="0.35">
      <c r="A57" s="41"/>
      <c r="B57" s="41"/>
      <c r="C57" s="41"/>
      <c r="D57" s="41"/>
      <c r="E57" s="41"/>
      <c r="F57" s="51"/>
      <c r="G57" s="51"/>
      <c r="H57" s="51"/>
      <c r="I57" s="51"/>
      <c r="J57" s="51"/>
      <c r="K57" s="51"/>
      <c r="L57" s="51"/>
      <c r="M57" s="21"/>
      <c r="N57" s="21"/>
    </row>
    <row r="58" spans="1:14" ht="23.25" customHeight="1" thickBot="1" x14ac:dyDescent="0.35">
      <c r="A58" s="41"/>
      <c r="B58" s="41"/>
      <c r="C58" s="41"/>
      <c r="D58" s="97" t="s">
        <v>66</v>
      </c>
      <c r="E58" s="97"/>
      <c r="F58" s="71" t="e">
        <f>SUM(((((E31/E47)*21)+(E33/E47)*46)+(E34/E47)*11)+(E35/E47)*12)+(E36/E47)*46</f>
        <v>#DIV/0!</v>
      </c>
      <c r="G58" s="71" t="e">
        <f>SUM((E34/E47)*52)+(E35/E47)*40</f>
        <v>#DIV/0!</v>
      </c>
      <c r="H58" s="71" t="e">
        <f>SUM((E32/E47)*60+(E37/E47)*22)</f>
        <v>#DIV/0!</v>
      </c>
      <c r="I58" s="71" t="e">
        <f>SUM((((E31/E47)*24)+(E35/E47)*10)+(E37/E47)*22)+(E38/E47)*17</f>
        <v>#DIV/0!</v>
      </c>
      <c r="J58" s="71" t="e">
        <f>SUM((E37/E47)*11)+(E39/E47)*12</f>
        <v>#DIV/0!</v>
      </c>
      <c r="K58" s="71" t="e">
        <f>SUM((E38/E47)*21)+(E39/E47)*21</f>
        <v>#DIV/0!</v>
      </c>
      <c r="L58" s="72" t="e">
        <f>SUM(E35/E47)*1</f>
        <v>#DIV/0!</v>
      </c>
      <c r="M58" s="21"/>
      <c r="N58" s="21"/>
    </row>
    <row r="59" spans="1:14" ht="23.25" customHeight="1" thickBot="1" x14ac:dyDescent="0.35">
      <c r="A59" s="41"/>
      <c r="B59" s="41"/>
      <c r="C59" s="41"/>
      <c r="D59" s="97" t="s">
        <v>67</v>
      </c>
      <c r="E59" s="97"/>
      <c r="F59" s="71" t="e">
        <f>SUM(((((E40/E49)*28)+(E41/E49)*10)+(E42/E49)*12)+(E44/E49)*4)</f>
        <v>#DIV/0!</v>
      </c>
      <c r="G59" s="71" t="e">
        <f>SUM(((E41/E49)*34)+(E44/E49)*10)</f>
        <v>#DIV/0!</v>
      </c>
      <c r="H59" s="73" t="e">
        <f>SUM(((E43/E49)*25)+(E44/E49)*10)</f>
        <v>#DIV/0!</v>
      </c>
      <c r="I59" s="71" t="e">
        <f>SUM(((E42/E49)*26)+(E43/E49)*17)</f>
        <v>#DIV/0!</v>
      </c>
      <c r="J59" s="73"/>
      <c r="K59" s="73"/>
      <c r="L59" s="73"/>
      <c r="M59" s="21"/>
      <c r="N59" s="21"/>
    </row>
    <row r="60" spans="1:14" ht="19.5" thickBot="1" x14ac:dyDescent="0.35">
      <c r="A60" s="41"/>
      <c r="B60" s="41"/>
      <c r="C60" s="41"/>
      <c r="D60" s="42"/>
      <c r="E60" s="53"/>
      <c r="F60" s="53"/>
      <c r="G60" s="43"/>
      <c r="H60" s="43"/>
      <c r="I60" s="43"/>
      <c r="J60" s="43"/>
      <c r="K60" s="43"/>
      <c r="L60" s="21"/>
      <c r="M60" s="21"/>
    </row>
    <row r="61" spans="1:14" ht="23.25" customHeight="1" thickTop="1" thickBot="1" x14ac:dyDescent="0.35">
      <c r="A61" s="41"/>
      <c r="B61" s="86" t="s">
        <v>81</v>
      </c>
      <c r="C61" s="86"/>
      <c r="D61" s="86"/>
      <c r="E61" s="93">
        <f>SUM(((((((((C31/2000)*E31)+(C32/2000)*E32)+(C33/2000)*E33)+(C34/2000)*E34)+(C35/2000)*E35)+(C36/2000)*E36)+(C37/2000)*E37)+(C38/2000)*E38)+(C39/2000)*E39</f>
        <v>0</v>
      </c>
      <c r="F61" s="93"/>
      <c r="G61" s="61"/>
      <c r="H61" s="86" t="s">
        <v>72</v>
      </c>
      <c r="I61" s="86"/>
      <c r="J61" s="86"/>
      <c r="K61" s="93">
        <f>SUM(((((((C40/187.79)*E40)+(C41/170.94)*E41)+(C42/180.18)*E42)+(C43/163.93)*E43)+(C44/194.17)*E44))</f>
        <v>0</v>
      </c>
      <c r="L61" s="93"/>
      <c r="M61" s="21"/>
      <c r="N61" s="21"/>
    </row>
    <row r="62" spans="1:14" ht="23.25" customHeight="1" thickTop="1" thickBot="1" x14ac:dyDescent="0.35">
      <c r="A62" s="41"/>
      <c r="B62" s="86" t="s">
        <v>82</v>
      </c>
      <c r="C62" s="86"/>
      <c r="D62" s="86"/>
      <c r="E62" s="93" t="e">
        <f>SUM(2000/E47)*E61</f>
        <v>#DIV/0!</v>
      </c>
      <c r="F62" s="93"/>
      <c r="G62" s="62"/>
      <c r="H62" s="86" t="s">
        <v>73</v>
      </c>
      <c r="I62" s="86"/>
      <c r="J62" s="86"/>
      <c r="K62" s="93" t="e">
        <f>SUM(((((E40/E49)*C40)+((E41/E49)*C41))+((E42/E49)*C42))+((E43/E49)*C43))+((E44/E49)*C44)</f>
        <v>#DIV/0!</v>
      </c>
      <c r="L62" s="93"/>
      <c r="M62" s="21"/>
      <c r="N62" s="21"/>
    </row>
    <row r="63" spans="1:14" ht="23.25" customHeight="1" thickTop="1" thickBot="1" x14ac:dyDescent="0.35">
      <c r="A63" s="41"/>
      <c r="B63" s="86" t="s">
        <v>70</v>
      </c>
      <c r="C63" s="86"/>
      <c r="D63" s="86"/>
      <c r="E63" s="89">
        <f>SUM(E47)*B23</f>
        <v>0</v>
      </c>
      <c r="F63" s="89"/>
      <c r="G63" s="62"/>
      <c r="H63" s="86" t="s">
        <v>74</v>
      </c>
      <c r="I63" s="86"/>
      <c r="J63" s="86"/>
      <c r="K63" s="89">
        <f>SUM(E49*B23)</f>
        <v>0</v>
      </c>
      <c r="L63" s="89"/>
      <c r="M63" s="21"/>
      <c r="N63" s="21"/>
    </row>
    <row r="64" spans="1:14" ht="23.25" customHeight="1" thickTop="1" thickBot="1" x14ac:dyDescent="0.35">
      <c r="A64" s="41"/>
      <c r="B64" s="86" t="s">
        <v>71</v>
      </c>
      <c r="C64" s="86"/>
      <c r="D64" s="86"/>
      <c r="E64" s="89">
        <f>SUM(E63/2000)</f>
        <v>0</v>
      </c>
      <c r="F64" s="89"/>
      <c r="G64" s="62"/>
      <c r="H64" s="63"/>
      <c r="I64" s="63"/>
      <c r="J64" s="63"/>
      <c r="K64" s="61"/>
      <c r="L64" s="43"/>
      <c r="M64" s="21"/>
      <c r="N64" s="21"/>
    </row>
    <row r="65" spans="1:13" ht="35.25" thickTop="1" thickBot="1" x14ac:dyDescent="0.35">
      <c r="A65" s="41"/>
      <c r="B65" s="41"/>
      <c r="C65" s="41"/>
      <c r="D65" s="61"/>
      <c r="E65" s="61"/>
      <c r="F65" s="62"/>
      <c r="G65" s="62"/>
      <c r="H65" s="62"/>
      <c r="I65" s="64"/>
      <c r="J65" s="62"/>
      <c r="K65" s="43"/>
      <c r="L65" s="21"/>
      <c r="M65" s="21"/>
    </row>
    <row r="66" spans="1:13" ht="23.25" customHeight="1" thickBot="1" x14ac:dyDescent="0.35">
      <c r="A66" s="41"/>
      <c r="B66" s="41"/>
      <c r="C66" s="41"/>
      <c r="D66" s="87" t="s">
        <v>84</v>
      </c>
      <c r="E66" s="88"/>
      <c r="F66" s="88"/>
      <c r="G66" s="88"/>
      <c r="H66" s="88"/>
      <c r="I66" s="88"/>
      <c r="J66" s="90">
        <f>SUM(E61+K61)</f>
        <v>0</v>
      </c>
      <c r="K66" s="91"/>
      <c r="L66" s="21"/>
      <c r="M66" s="21"/>
    </row>
    <row r="67" spans="1:13" ht="15" customHeight="1" x14ac:dyDescent="0.25">
      <c r="D67" s="38"/>
      <c r="E67" s="38"/>
      <c r="F67" s="38"/>
      <c r="G67" s="38"/>
      <c r="H67" s="38"/>
      <c r="I67" s="38"/>
      <c r="J67" s="39"/>
      <c r="K67" s="37"/>
      <c r="L67" s="21"/>
      <c r="M67" s="21"/>
    </row>
    <row r="68" spans="1:13" ht="15" customHeight="1" x14ac:dyDescent="0.3">
      <c r="D68" s="27"/>
      <c r="E68" s="27"/>
      <c r="F68" s="27"/>
      <c r="G68" s="27"/>
      <c r="H68" s="27"/>
      <c r="I68" s="27"/>
      <c r="J68" s="28"/>
      <c r="L68" s="21"/>
      <c r="M68" s="21"/>
    </row>
    <row r="69" spans="1:13" ht="31.5" x14ac:dyDescent="0.65">
      <c r="A69" s="85" t="s">
        <v>75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21"/>
      <c r="M69" s="21"/>
    </row>
    <row r="70" spans="1:13" x14ac:dyDescent="0.25">
      <c r="L70" s="21"/>
      <c r="M70" s="21"/>
    </row>
    <row r="71" spans="1:13" x14ac:dyDescent="0.25">
      <c r="L71" s="21"/>
      <c r="M71" s="21"/>
    </row>
    <row r="72" spans="1:13" x14ac:dyDescent="0.25">
      <c r="L72" s="21"/>
      <c r="M72" s="21"/>
    </row>
    <row r="73" spans="1:13" x14ac:dyDescent="0.25">
      <c r="L73" s="21"/>
      <c r="M73" s="21"/>
    </row>
    <row r="74" spans="1:13" x14ac:dyDescent="0.25">
      <c r="L74" s="21"/>
      <c r="M74" s="21"/>
    </row>
    <row r="75" spans="1:13" x14ac:dyDescent="0.25">
      <c r="L75" s="21"/>
      <c r="M75" s="21"/>
    </row>
    <row r="76" spans="1:13" x14ac:dyDescent="0.25">
      <c r="L76" s="21"/>
      <c r="M76" s="21"/>
    </row>
    <row r="77" spans="1:13" x14ac:dyDescent="0.25">
      <c r="L77" s="21"/>
      <c r="M77" s="21"/>
    </row>
    <row r="78" spans="1:13" x14ac:dyDescent="0.25">
      <c r="L78" s="21"/>
      <c r="M78" s="21"/>
    </row>
    <row r="79" spans="1:13" x14ac:dyDescent="0.25">
      <c r="L79" s="21"/>
      <c r="M79" s="21"/>
    </row>
    <row r="80" spans="1:13" x14ac:dyDescent="0.25">
      <c r="L80" s="21"/>
      <c r="M80" s="21"/>
    </row>
    <row r="81" spans="12:13" x14ac:dyDescent="0.25">
      <c r="L81" s="21"/>
      <c r="M81" s="21"/>
    </row>
    <row r="82" spans="12:13" x14ac:dyDescent="0.25">
      <c r="L82" s="21"/>
      <c r="M82" s="21"/>
    </row>
    <row r="83" spans="12:13" x14ac:dyDescent="0.25">
      <c r="L83" s="21"/>
      <c r="M83" s="21"/>
    </row>
    <row r="84" spans="12:13" x14ac:dyDescent="0.25">
      <c r="L84" s="21"/>
      <c r="M84" s="21"/>
    </row>
    <row r="85" spans="12:13" x14ac:dyDescent="0.25">
      <c r="L85" s="21"/>
      <c r="M85" s="21"/>
    </row>
    <row r="86" spans="12:13" x14ac:dyDescent="0.25">
      <c r="L86" s="21"/>
      <c r="M86" s="21"/>
    </row>
    <row r="87" spans="12:13" x14ac:dyDescent="0.25">
      <c r="L87" s="21"/>
      <c r="M87" s="21"/>
    </row>
    <row r="88" spans="12:13" x14ac:dyDescent="0.25">
      <c r="L88" s="21"/>
      <c r="M88" s="21"/>
    </row>
    <row r="89" spans="12:13" x14ac:dyDescent="0.25">
      <c r="L89" s="21"/>
      <c r="M89" s="21"/>
    </row>
    <row r="90" spans="12:13" x14ac:dyDescent="0.25">
      <c r="L90" s="21"/>
      <c r="M90" s="21"/>
    </row>
    <row r="91" spans="12:13" x14ac:dyDescent="0.25">
      <c r="L91" s="21"/>
      <c r="M91" s="21"/>
    </row>
    <row r="92" spans="12:13" x14ac:dyDescent="0.25">
      <c r="L92" s="21"/>
      <c r="M92" s="21"/>
    </row>
    <row r="93" spans="12:13" x14ac:dyDescent="0.25">
      <c r="L93" s="21"/>
      <c r="M93" s="21"/>
    </row>
    <row r="94" spans="12:13" x14ac:dyDescent="0.25">
      <c r="L94" s="21"/>
      <c r="M94" s="21"/>
    </row>
    <row r="95" spans="12:13" x14ac:dyDescent="0.25">
      <c r="L95" s="21"/>
      <c r="M95" s="21"/>
    </row>
    <row r="96" spans="12:13" x14ac:dyDescent="0.25">
      <c r="L96" s="21"/>
      <c r="M96" s="21"/>
    </row>
    <row r="97" spans="12:13" x14ac:dyDescent="0.25">
      <c r="L97" s="21"/>
      <c r="M97" s="21"/>
    </row>
    <row r="98" spans="12:13" x14ac:dyDescent="0.25">
      <c r="L98" s="21"/>
      <c r="M98" s="21"/>
    </row>
    <row r="99" spans="12:13" x14ac:dyDescent="0.25">
      <c r="L99" s="21"/>
      <c r="M99" s="21"/>
    </row>
    <row r="100" spans="12:13" x14ac:dyDescent="0.25">
      <c r="L100" s="21"/>
      <c r="M100" s="21"/>
    </row>
    <row r="101" spans="12:13" x14ac:dyDescent="0.25">
      <c r="L101" s="21"/>
      <c r="M101" s="21"/>
    </row>
    <row r="102" spans="12:13" x14ac:dyDescent="0.25">
      <c r="L102" s="21"/>
      <c r="M102" s="21"/>
    </row>
    <row r="103" spans="12:13" x14ac:dyDescent="0.25">
      <c r="L103" s="21"/>
      <c r="M103" s="21"/>
    </row>
    <row r="104" spans="12:13" x14ac:dyDescent="0.25">
      <c r="L104" s="21"/>
      <c r="M104" s="21"/>
    </row>
    <row r="105" spans="12:13" x14ac:dyDescent="0.25">
      <c r="L105" s="21"/>
      <c r="M105" s="21"/>
    </row>
    <row r="106" spans="12:13" x14ac:dyDescent="0.25">
      <c r="L106" s="21"/>
      <c r="M106" s="21"/>
    </row>
    <row r="107" spans="12:13" x14ac:dyDescent="0.25">
      <c r="L107" s="21"/>
      <c r="M107" s="21"/>
    </row>
    <row r="108" spans="12:13" x14ac:dyDescent="0.25">
      <c r="L108" s="21"/>
      <c r="M108" s="21"/>
    </row>
    <row r="109" spans="12:13" x14ac:dyDescent="0.25">
      <c r="L109" s="21"/>
      <c r="M109" s="21"/>
    </row>
    <row r="110" spans="12:13" x14ac:dyDescent="0.25">
      <c r="L110" s="21"/>
      <c r="M110" s="21"/>
    </row>
    <row r="111" spans="12:13" x14ac:dyDescent="0.25">
      <c r="L111" s="21"/>
      <c r="M111" s="21"/>
    </row>
    <row r="112" spans="12:13" x14ac:dyDescent="0.25">
      <c r="L112" s="21"/>
      <c r="M112" s="21"/>
    </row>
    <row r="113" spans="12:13" x14ac:dyDescent="0.25">
      <c r="L113" s="21"/>
      <c r="M113" s="21"/>
    </row>
    <row r="114" spans="12:13" x14ac:dyDescent="0.25">
      <c r="L114" s="21"/>
      <c r="M114" s="21"/>
    </row>
    <row r="115" spans="12:13" x14ac:dyDescent="0.25">
      <c r="L115" s="21"/>
      <c r="M115" s="21"/>
    </row>
    <row r="116" spans="12:13" x14ac:dyDescent="0.25">
      <c r="L116" s="21"/>
      <c r="M116" s="21"/>
    </row>
    <row r="117" spans="12:13" x14ac:dyDescent="0.25">
      <c r="L117" s="21"/>
      <c r="M117" s="21"/>
    </row>
    <row r="118" spans="12:13" x14ac:dyDescent="0.25">
      <c r="L118" s="21"/>
      <c r="M118" s="21"/>
    </row>
    <row r="119" spans="12:13" x14ac:dyDescent="0.25">
      <c r="L119" s="21"/>
      <c r="M119" s="21"/>
    </row>
    <row r="120" spans="12:13" x14ac:dyDescent="0.25">
      <c r="L120" s="21"/>
      <c r="M120" s="21"/>
    </row>
    <row r="121" spans="12:13" x14ac:dyDescent="0.25">
      <c r="L121" s="21"/>
      <c r="M121" s="21"/>
    </row>
    <row r="122" spans="12:13" x14ac:dyDescent="0.25">
      <c r="L122" s="21"/>
      <c r="M122" s="21"/>
    </row>
    <row r="123" spans="12:13" x14ac:dyDescent="0.25">
      <c r="L123" s="21"/>
      <c r="M123" s="21"/>
    </row>
    <row r="124" spans="12:13" x14ac:dyDescent="0.25">
      <c r="L124" s="21"/>
      <c r="M124" s="21"/>
    </row>
    <row r="125" spans="12:13" x14ac:dyDescent="0.25">
      <c r="L125" s="21"/>
      <c r="M125" s="21"/>
    </row>
    <row r="126" spans="12:13" x14ac:dyDescent="0.25">
      <c r="L126" s="21"/>
      <c r="M126" s="21"/>
    </row>
    <row r="127" spans="12:13" x14ac:dyDescent="0.25">
      <c r="L127" s="21"/>
      <c r="M127" s="21"/>
    </row>
    <row r="128" spans="12:13" x14ac:dyDescent="0.25">
      <c r="L128" s="21"/>
      <c r="M128" s="21"/>
    </row>
    <row r="129" spans="12:13" x14ac:dyDescent="0.25">
      <c r="L129" s="21"/>
      <c r="M129" s="21"/>
    </row>
    <row r="130" spans="12:13" x14ac:dyDescent="0.25">
      <c r="L130" s="21"/>
      <c r="M130" s="21"/>
    </row>
    <row r="131" spans="12:13" x14ac:dyDescent="0.25">
      <c r="L131" s="21"/>
      <c r="M131" s="21"/>
    </row>
    <row r="132" spans="12:13" x14ac:dyDescent="0.25">
      <c r="L132" s="21"/>
      <c r="M132" s="21"/>
    </row>
    <row r="133" spans="12:13" x14ac:dyDescent="0.25">
      <c r="L133" s="21"/>
      <c r="M133" s="21"/>
    </row>
    <row r="134" spans="12:13" x14ac:dyDescent="0.25">
      <c r="L134" s="21"/>
      <c r="M134" s="21"/>
    </row>
    <row r="135" spans="12:13" x14ac:dyDescent="0.25">
      <c r="L135" s="21"/>
      <c r="M135" s="21"/>
    </row>
    <row r="136" spans="12:13" x14ac:dyDescent="0.25">
      <c r="L136" s="21"/>
      <c r="M136" s="21"/>
    </row>
    <row r="137" spans="12:13" x14ac:dyDescent="0.25">
      <c r="L137" s="21"/>
      <c r="M137" s="21"/>
    </row>
    <row r="138" spans="12:13" x14ac:dyDescent="0.25">
      <c r="L138" s="21"/>
      <c r="M138" s="21"/>
    </row>
    <row r="139" spans="12:13" x14ac:dyDescent="0.25">
      <c r="L139" s="21"/>
      <c r="M139" s="21"/>
    </row>
    <row r="140" spans="12:13" x14ac:dyDescent="0.25">
      <c r="L140" s="21"/>
      <c r="M140" s="21"/>
    </row>
    <row r="141" spans="12:13" x14ac:dyDescent="0.25">
      <c r="L141" s="21"/>
      <c r="M141" s="21"/>
    </row>
    <row r="142" spans="12:13" x14ac:dyDescent="0.25">
      <c r="L142" s="21"/>
      <c r="M142" s="21"/>
    </row>
    <row r="143" spans="12:13" x14ac:dyDescent="0.25">
      <c r="L143" s="21"/>
      <c r="M143" s="21"/>
    </row>
    <row r="144" spans="12:13" x14ac:dyDescent="0.25">
      <c r="L144" s="21"/>
      <c r="M144" s="21"/>
    </row>
    <row r="145" spans="12:13" x14ac:dyDescent="0.25">
      <c r="L145" s="21"/>
      <c r="M145" s="21"/>
    </row>
    <row r="146" spans="12:13" x14ac:dyDescent="0.25">
      <c r="L146" s="21"/>
      <c r="M146" s="21"/>
    </row>
    <row r="147" spans="12:13" x14ac:dyDescent="0.25">
      <c r="L147" s="21"/>
      <c r="M147" s="21"/>
    </row>
    <row r="148" spans="12:13" x14ac:dyDescent="0.25">
      <c r="L148" s="21"/>
      <c r="M148" s="21"/>
    </row>
    <row r="149" spans="12:13" x14ac:dyDescent="0.25">
      <c r="L149" s="21"/>
      <c r="M149" s="21"/>
    </row>
    <row r="150" spans="12:13" x14ac:dyDescent="0.25">
      <c r="L150" s="21"/>
      <c r="M150" s="21"/>
    </row>
    <row r="151" spans="12:13" x14ac:dyDescent="0.25">
      <c r="L151" s="21"/>
      <c r="M151" s="21"/>
    </row>
    <row r="152" spans="12:13" x14ac:dyDescent="0.25">
      <c r="L152" s="21"/>
      <c r="M152" s="21"/>
    </row>
    <row r="153" spans="12:13" x14ac:dyDescent="0.25">
      <c r="L153" s="21"/>
      <c r="M153" s="21"/>
    </row>
    <row r="154" spans="12:13" x14ac:dyDescent="0.25">
      <c r="L154" s="21"/>
      <c r="M154" s="21"/>
    </row>
    <row r="155" spans="12:13" x14ac:dyDescent="0.25">
      <c r="L155" s="21"/>
      <c r="M155" s="21"/>
    </row>
    <row r="156" spans="12:13" x14ac:dyDescent="0.25">
      <c r="L156" s="21"/>
      <c r="M156" s="21"/>
    </row>
    <row r="157" spans="12:13" x14ac:dyDescent="0.25">
      <c r="L157" s="21"/>
      <c r="M157" s="21"/>
    </row>
    <row r="158" spans="12:13" x14ac:dyDescent="0.25">
      <c r="L158" s="21"/>
      <c r="M158" s="21"/>
    </row>
    <row r="159" spans="12:13" x14ac:dyDescent="0.25">
      <c r="L159" s="21"/>
      <c r="M159" s="21"/>
    </row>
    <row r="160" spans="12:13" x14ac:dyDescent="0.25">
      <c r="L160" s="21"/>
      <c r="M160" s="21"/>
    </row>
    <row r="161" spans="12:13" x14ac:dyDescent="0.25">
      <c r="L161" s="21"/>
      <c r="M161" s="21"/>
    </row>
    <row r="162" spans="12:13" x14ac:dyDescent="0.25">
      <c r="L162" s="21"/>
      <c r="M162" s="21"/>
    </row>
    <row r="163" spans="12:13" x14ac:dyDescent="0.25">
      <c r="L163" s="21"/>
      <c r="M163" s="21"/>
    </row>
    <row r="164" spans="12:13" x14ac:dyDescent="0.25">
      <c r="L164" s="21"/>
      <c r="M164" s="21"/>
    </row>
    <row r="165" spans="12:13" x14ac:dyDescent="0.25">
      <c r="L165" s="21"/>
      <c r="M165" s="21"/>
    </row>
    <row r="166" spans="12:13" x14ac:dyDescent="0.25">
      <c r="L166" s="21"/>
      <c r="M166" s="21"/>
    </row>
    <row r="167" spans="12:13" x14ac:dyDescent="0.25">
      <c r="L167" s="21"/>
      <c r="M167" s="21"/>
    </row>
    <row r="168" spans="12:13" x14ac:dyDescent="0.25">
      <c r="L168" s="21"/>
      <c r="M168" s="21"/>
    </row>
    <row r="169" spans="12:13" x14ac:dyDescent="0.25">
      <c r="L169" s="21"/>
      <c r="M169" s="21"/>
    </row>
    <row r="170" spans="12:13" x14ac:dyDescent="0.25">
      <c r="L170" s="21"/>
      <c r="M170" s="21"/>
    </row>
    <row r="171" spans="12:13" x14ac:dyDescent="0.25">
      <c r="L171" s="21"/>
      <c r="M171" s="21"/>
    </row>
    <row r="172" spans="12:13" x14ac:dyDescent="0.25">
      <c r="L172" s="21"/>
      <c r="M172" s="21"/>
    </row>
  </sheetData>
  <mergeCells count="39">
    <mergeCell ref="A29:K29"/>
    <mergeCell ref="B61:D61"/>
    <mergeCell ref="E61:F61"/>
    <mergeCell ref="E62:F62"/>
    <mergeCell ref="B62:D62"/>
    <mergeCell ref="K61:L61"/>
    <mergeCell ref="K62:L62"/>
    <mergeCell ref="D51:E51"/>
    <mergeCell ref="D53:E53"/>
    <mergeCell ref="D54:E54"/>
    <mergeCell ref="D55:E55"/>
    <mergeCell ref="D58:E58"/>
    <mergeCell ref="D59:E59"/>
    <mergeCell ref="A69:K69"/>
    <mergeCell ref="H61:J61"/>
    <mergeCell ref="H62:J62"/>
    <mergeCell ref="H63:J63"/>
    <mergeCell ref="D66:I66"/>
    <mergeCell ref="E63:F63"/>
    <mergeCell ref="E64:F64"/>
    <mergeCell ref="B63:D63"/>
    <mergeCell ref="B64:D64"/>
    <mergeCell ref="K63:L63"/>
    <mergeCell ref="J66:K66"/>
    <mergeCell ref="B23:D23"/>
    <mergeCell ref="A6:K6"/>
    <mergeCell ref="A7:K7"/>
    <mergeCell ref="A8:D8"/>
    <mergeCell ref="A20:D20"/>
    <mergeCell ref="A19:D19"/>
    <mergeCell ref="A21:D21"/>
    <mergeCell ref="A22:D22"/>
    <mergeCell ref="A17:L18"/>
    <mergeCell ref="A15:L16"/>
    <mergeCell ref="A24:D24"/>
    <mergeCell ref="A25:D25"/>
    <mergeCell ref="A26:D26"/>
    <mergeCell ref="A27:D27"/>
    <mergeCell ref="A28:D28"/>
  </mergeCells>
  <printOptions horizontalCentered="1" verticalCentered="1" gridLines="1"/>
  <pageMargins left="0" right="0" top="0.75" bottom="0.75" header="0.3" footer="0.3"/>
  <pageSetup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zoomScale="50" zoomScaleNormal="50" workbookViewId="0">
      <selection activeCell="P15" sqref="P15"/>
    </sheetView>
  </sheetViews>
  <sheetFormatPr defaultRowHeight="15" x14ac:dyDescent="0.25"/>
  <cols>
    <col min="1" max="1" width="19.5703125" bestFit="1" customWidth="1"/>
    <col min="2" max="2" width="23.28515625" bestFit="1" customWidth="1"/>
    <col min="3" max="3" width="24.42578125" bestFit="1" customWidth="1"/>
    <col min="6" max="6" width="11.85546875" bestFit="1" customWidth="1"/>
    <col min="10" max="10" width="28.7109375" customWidth="1"/>
    <col min="12" max="12" width="11.140625" bestFit="1" customWidth="1"/>
    <col min="13" max="13" width="24.42578125" bestFit="1" customWidth="1"/>
  </cols>
  <sheetData>
    <row r="1" spans="1:17" ht="23.25" x14ac:dyDescent="0.35">
      <c r="A1" s="2"/>
      <c r="B1" s="2" t="s">
        <v>22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3.25" x14ac:dyDescent="0.35">
      <c r="A2" s="2"/>
      <c r="B2" s="2"/>
      <c r="C2" s="2"/>
      <c r="D2" s="2"/>
      <c r="E2" s="2" t="s">
        <v>27</v>
      </c>
      <c r="F2" s="2"/>
      <c r="G2" s="3"/>
      <c r="H2" s="4">
        <v>100</v>
      </c>
      <c r="I2" s="3"/>
      <c r="J2" s="3" t="s">
        <v>28</v>
      </c>
      <c r="K2" s="3"/>
      <c r="L2" s="3"/>
      <c r="M2" s="3"/>
      <c r="N2" s="3"/>
      <c r="O2" s="3"/>
      <c r="P2" s="3"/>
      <c r="Q2" s="3"/>
    </row>
    <row r="3" spans="1:17" ht="23.25" x14ac:dyDescent="0.35">
      <c r="A3" s="2"/>
      <c r="B3" s="2" t="s">
        <v>29</v>
      </c>
      <c r="C3" s="2"/>
      <c r="D3" s="2"/>
      <c r="E3" s="5">
        <v>125</v>
      </c>
      <c r="F3" s="2">
        <v>150</v>
      </c>
      <c r="G3" s="2">
        <v>175</v>
      </c>
      <c r="H3" s="6">
        <v>200</v>
      </c>
      <c r="I3" s="2"/>
      <c r="J3" s="2" t="s">
        <v>15</v>
      </c>
      <c r="K3" s="7">
        <v>0.28000000000000003</v>
      </c>
      <c r="L3" s="2" t="s">
        <v>17</v>
      </c>
      <c r="M3" s="2" t="s">
        <v>30</v>
      </c>
      <c r="N3" s="2" t="s">
        <v>14</v>
      </c>
      <c r="O3" s="2"/>
      <c r="P3" s="2"/>
      <c r="Q3" s="2"/>
    </row>
    <row r="4" spans="1:17" ht="23.25" x14ac:dyDescent="0.35">
      <c r="A4" s="2"/>
      <c r="B4" s="8"/>
      <c r="C4" s="8"/>
      <c r="D4" s="8"/>
      <c r="E4" s="8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3.25" x14ac:dyDescent="0.35">
      <c r="A5" s="2" t="s">
        <v>31</v>
      </c>
      <c r="B5" s="8">
        <v>1.1000000000000001</v>
      </c>
      <c r="C5" s="8"/>
      <c r="D5" s="8"/>
      <c r="E5" s="8">
        <f>E3*B5</f>
        <v>137.5</v>
      </c>
      <c r="F5" s="8">
        <f>F3*B5</f>
        <v>165</v>
      </c>
      <c r="G5" s="8">
        <f>G3*B5</f>
        <v>192.50000000000003</v>
      </c>
      <c r="H5" s="8">
        <f>H3*B5</f>
        <v>220.00000000000003</v>
      </c>
      <c r="I5" s="3"/>
      <c r="J5" s="18">
        <f>(H2*B5)/0.46</f>
        <v>239.13043478260872</v>
      </c>
      <c r="K5" s="3">
        <f>((H2*B5)/0.28)/10.65</f>
        <v>36.887994634473507</v>
      </c>
      <c r="L5" s="3">
        <f>(H2*B6)/0.4</f>
        <v>100</v>
      </c>
      <c r="M5" s="3">
        <f>((H2*B6)/0.34)/11.7</f>
        <v>10.055304172951232</v>
      </c>
      <c r="N5" s="3">
        <f>(H2*B7)/0.62</f>
        <v>46.774193548387089</v>
      </c>
      <c r="O5" s="3"/>
      <c r="P5" s="3"/>
      <c r="Q5" s="3"/>
    </row>
    <row r="6" spans="1:17" ht="23.25" x14ac:dyDescent="0.35">
      <c r="A6" s="2" t="s">
        <v>32</v>
      </c>
      <c r="B6" s="2">
        <v>0.4</v>
      </c>
      <c r="C6" s="2"/>
      <c r="D6" s="2"/>
      <c r="E6" s="8">
        <f>E3*B6</f>
        <v>50</v>
      </c>
      <c r="F6" s="2">
        <f>F3*B6</f>
        <v>60</v>
      </c>
      <c r="G6" s="3">
        <f>G3*B6</f>
        <v>70</v>
      </c>
      <c r="H6" s="3">
        <f>H3*B6</f>
        <v>80</v>
      </c>
      <c r="I6" s="3"/>
      <c r="J6" s="3"/>
      <c r="K6" s="3"/>
      <c r="L6" s="3"/>
      <c r="M6" s="3"/>
      <c r="N6" s="3"/>
      <c r="O6" s="3"/>
      <c r="P6" s="3"/>
      <c r="Q6" s="3"/>
    </row>
    <row r="7" spans="1:17" ht="23.25" x14ac:dyDescent="0.35">
      <c r="A7" s="2" t="s">
        <v>14</v>
      </c>
      <c r="B7" s="2">
        <v>0.28999999999999998</v>
      </c>
      <c r="C7" s="2"/>
      <c r="D7" s="2"/>
      <c r="E7" s="8">
        <f>E3*B7</f>
        <v>36.25</v>
      </c>
      <c r="F7" s="2">
        <f>F3*B7</f>
        <v>43.5</v>
      </c>
      <c r="G7" s="3">
        <f>G3*B7</f>
        <v>50.75</v>
      </c>
      <c r="H7" s="3">
        <f>H3*B7</f>
        <v>57.999999999999993</v>
      </c>
      <c r="I7" s="3"/>
      <c r="J7" s="3"/>
      <c r="K7" s="3"/>
      <c r="L7" s="3"/>
      <c r="M7" s="3"/>
      <c r="N7" s="3"/>
      <c r="O7" s="3"/>
      <c r="P7" s="3"/>
      <c r="Q7" s="3"/>
    </row>
    <row r="8" spans="1:17" ht="23.25" x14ac:dyDescent="0.35">
      <c r="A8" s="2"/>
      <c r="B8" s="2"/>
      <c r="C8" s="2"/>
      <c r="D8" s="2"/>
      <c r="E8" s="8"/>
      <c r="F8" s="2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27.75" x14ac:dyDescent="0.4">
      <c r="A9" s="98" t="s">
        <v>33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9" t="s">
        <v>34</v>
      </c>
      <c r="P9" s="99"/>
      <c r="Q9" s="99"/>
    </row>
    <row r="10" spans="1:17" ht="23.25" x14ac:dyDescent="0.35">
      <c r="A10" s="9" t="s">
        <v>35</v>
      </c>
      <c r="B10" s="8">
        <v>0.1</v>
      </c>
      <c r="C10" s="8"/>
      <c r="D10" s="8"/>
      <c r="E10" s="8">
        <f>E3*B10</f>
        <v>12.5</v>
      </c>
      <c r="F10" s="2">
        <f>F3*B10</f>
        <v>15</v>
      </c>
      <c r="G10" s="3">
        <f>G3*B10</f>
        <v>17.5</v>
      </c>
      <c r="H10" s="3">
        <f>H3*B10</f>
        <v>20</v>
      </c>
      <c r="I10" s="3"/>
      <c r="J10" s="3"/>
      <c r="K10" s="3"/>
      <c r="L10" s="3"/>
      <c r="M10" s="3"/>
      <c r="N10" s="3"/>
      <c r="O10" s="3" t="s">
        <v>15</v>
      </c>
      <c r="P10" s="4">
        <v>345</v>
      </c>
      <c r="Q10" s="3"/>
    </row>
    <row r="11" spans="1:17" ht="23.25" x14ac:dyDescent="0.35">
      <c r="A11" s="9" t="s">
        <v>36</v>
      </c>
      <c r="B11" s="8">
        <v>0.14599999999999999</v>
      </c>
      <c r="C11" s="8"/>
      <c r="D11" s="8"/>
      <c r="E11" s="8">
        <f>E3*B11</f>
        <v>18.25</v>
      </c>
      <c r="F11" s="2">
        <f>F3*B11</f>
        <v>21.9</v>
      </c>
      <c r="G11" s="3">
        <f>G3*B11</f>
        <v>25.549999999999997</v>
      </c>
      <c r="H11" s="3">
        <f>H3*B11</f>
        <v>29.2</v>
      </c>
      <c r="I11" s="3"/>
      <c r="J11" s="3"/>
      <c r="K11" s="3"/>
      <c r="L11" s="3"/>
      <c r="M11" s="3"/>
      <c r="N11" s="3"/>
      <c r="O11" s="10">
        <v>0.28000000000000003</v>
      </c>
      <c r="P11" s="4">
        <v>245</v>
      </c>
      <c r="Q11" s="3"/>
    </row>
    <row r="12" spans="1:17" ht="23.25" x14ac:dyDescent="0.35">
      <c r="A12" s="9" t="s">
        <v>7</v>
      </c>
      <c r="B12" s="8">
        <v>9.2999999999999999E-2</v>
      </c>
      <c r="C12" s="8"/>
      <c r="D12" s="8"/>
      <c r="E12" s="8">
        <f>E3*B12</f>
        <v>11.625</v>
      </c>
      <c r="F12" s="2">
        <f>F3*B12</f>
        <v>13.95</v>
      </c>
      <c r="G12" s="3">
        <f>G3*B12</f>
        <v>16.274999999999999</v>
      </c>
      <c r="H12" s="3">
        <f>H3*B12</f>
        <v>18.600000000000001</v>
      </c>
      <c r="I12" s="3"/>
      <c r="J12" s="3"/>
      <c r="K12" s="3"/>
      <c r="L12" s="3"/>
      <c r="M12" s="3"/>
      <c r="N12" s="3"/>
      <c r="O12" s="3" t="s">
        <v>17</v>
      </c>
      <c r="P12" s="4">
        <v>520</v>
      </c>
      <c r="Q12" s="3"/>
    </row>
    <row r="13" spans="1:17" ht="23.25" x14ac:dyDescent="0.35">
      <c r="A13" s="9" t="s">
        <v>37</v>
      </c>
      <c r="B13" s="8">
        <v>1E-3</v>
      </c>
      <c r="C13" s="8"/>
      <c r="D13" s="8"/>
      <c r="E13" s="8">
        <f>E3*B13</f>
        <v>0.125</v>
      </c>
      <c r="F13" s="2">
        <f>F3*B13</f>
        <v>0.15</v>
      </c>
      <c r="G13" s="3">
        <f>G3*B13</f>
        <v>0.17500000000000002</v>
      </c>
      <c r="H13" s="3">
        <f>H3*B13</f>
        <v>0.2</v>
      </c>
      <c r="I13" s="3"/>
      <c r="J13" s="3"/>
      <c r="K13" s="3"/>
      <c r="L13" s="3"/>
      <c r="M13" s="3"/>
      <c r="N13" s="3"/>
      <c r="O13" s="3" t="s">
        <v>30</v>
      </c>
      <c r="P13" s="4">
        <v>400</v>
      </c>
      <c r="Q13" s="3"/>
    </row>
    <row r="14" spans="1:17" ht="23.25" x14ac:dyDescent="0.35">
      <c r="A14" s="9" t="s">
        <v>38</v>
      </c>
      <c r="B14" s="8">
        <v>5.9999999999999995E-4</v>
      </c>
      <c r="C14" s="8"/>
      <c r="D14" s="8"/>
      <c r="E14" s="8">
        <f>E3*B14</f>
        <v>7.4999999999999997E-2</v>
      </c>
      <c r="F14" s="2">
        <f>F3*B14</f>
        <v>0.09</v>
      </c>
      <c r="G14" s="3">
        <f>G3*B14</f>
        <v>0.105</v>
      </c>
      <c r="H14" s="3">
        <f>H3*B14</f>
        <v>0.12</v>
      </c>
      <c r="I14" s="3"/>
      <c r="J14" s="3"/>
      <c r="K14" s="3"/>
      <c r="L14" s="3"/>
      <c r="M14" s="3"/>
      <c r="N14" s="3"/>
      <c r="O14" s="3" t="s">
        <v>14</v>
      </c>
      <c r="P14" s="4">
        <v>325</v>
      </c>
      <c r="Q14" s="3"/>
    </row>
    <row r="15" spans="1:17" ht="23.25" x14ac:dyDescent="0.35">
      <c r="A15" s="9" t="s">
        <v>39</v>
      </c>
      <c r="B15" s="8">
        <v>4.0000000000000002E-4</v>
      </c>
      <c r="C15" s="8"/>
      <c r="D15" s="8"/>
      <c r="E15" s="8">
        <f>E3*B15</f>
        <v>0.05</v>
      </c>
      <c r="F15" s="2">
        <f>F3*B15</f>
        <v>6.0000000000000005E-2</v>
      </c>
      <c r="G15" s="3">
        <f>G3*B15</f>
        <v>7.0000000000000007E-2</v>
      </c>
      <c r="H15" s="3">
        <f>H3*B15</f>
        <v>0.08</v>
      </c>
      <c r="I15" s="3"/>
      <c r="J15" s="3"/>
      <c r="K15" s="3"/>
      <c r="L15" s="3"/>
      <c r="M15" s="3"/>
      <c r="N15" s="3"/>
      <c r="O15" s="3"/>
      <c r="P15" s="3"/>
      <c r="Q15" s="3"/>
    </row>
    <row r="16" spans="1:17" ht="23.25" x14ac:dyDescent="0.35">
      <c r="A16" s="9" t="s">
        <v>40</v>
      </c>
      <c r="B16" s="8">
        <v>1E-3</v>
      </c>
      <c r="C16" s="8"/>
      <c r="D16" s="8"/>
      <c r="E16" s="8">
        <f>E3*B16</f>
        <v>0.125</v>
      </c>
      <c r="F16" s="2">
        <f>F3*B16</f>
        <v>0.15</v>
      </c>
      <c r="G16" s="3">
        <f>G3*B16</f>
        <v>0.17500000000000002</v>
      </c>
      <c r="H16" s="3">
        <f>H3*B16</f>
        <v>0.2</v>
      </c>
      <c r="I16" s="3"/>
      <c r="J16" s="3"/>
      <c r="K16" s="3"/>
      <c r="L16" s="3"/>
      <c r="M16" s="3"/>
      <c r="N16" s="3"/>
      <c r="O16" s="3"/>
      <c r="P16" s="3"/>
      <c r="Q16" s="3"/>
    </row>
    <row r="17" spans="1:17" ht="23.25" x14ac:dyDescent="0.35">
      <c r="A17" s="9" t="s">
        <v>41</v>
      </c>
      <c r="B17" s="8">
        <v>8.0000000000000004E-4</v>
      </c>
      <c r="C17" s="8"/>
      <c r="D17" s="8"/>
      <c r="E17" s="8">
        <f>E3*B17</f>
        <v>0.1</v>
      </c>
      <c r="F17" s="2">
        <f>F3*B17</f>
        <v>0.12000000000000001</v>
      </c>
      <c r="G17" s="3">
        <f>G3*B17</f>
        <v>0.14000000000000001</v>
      </c>
      <c r="H17" s="3">
        <f>H3*B17</f>
        <v>0.16</v>
      </c>
      <c r="I17" s="3"/>
      <c r="J17" s="3"/>
      <c r="K17" s="3"/>
      <c r="L17" s="3"/>
      <c r="M17" s="3"/>
      <c r="N17" s="3"/>
      <c r="O17" s="3"/>
      <c r="P17" s="3"/>
      <c r="Q17" s="3"/>
    </row>
    <row r="18" spans="1:17" ht="23.25" x14ac:dyDescent="0.35">
      <c r="A18" s="9"/>
      <c r="B18" s="8"/>
      <c r="C18" s="8"/>
      <c r="D18" s="8"/>
      <c r="E18" s="8"/>
      <c r="F18" s="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23.25" x14ac:dyDescent="0.35">
      <c r="A19" s="9" t="s">
        <v>42</v>
      </c>
      <c r="B19" s="8"/>
      <c r="C19" s="11" t="s">
        <v>43</v>
      </c>
      <c r="D19" s="11"/>
      <c r="E19" s="11"/>
      <c r="F19" s="12"/>
      <c r="G19" s="13"/>
      <c r="H19" s="13"/>
      <c r="I19" s="14" t="s">
        <v>44</v>
      </c>
      <c r="J19" s="14"/>
      <c r="K19" s="14"/>
      <c r="L19" s="14"/>
      <c r="M19" s="14"/>
      <c r="N19" s="3"/>
      <c r="O19" s="3"/>
      <c r="P19" s="3"/>
      <c r="Q19" s="3"/>
    </row>
    <row r="20" spans="1:17" ht="23.25" x14ac:dyDescent="0.35">
      <c r="A20" s="9"/>
      <c r="B20" s="8"/>
      <c r="C20" s="11" t="s">
        <v>6</v>
      </c>
      <c r="D20" s="11"/>
      <c r="E20" s="11" t="s">
        <v>25</v>
      </c>
      <c r="F20" s="12"/>
      <c r="G20" s="13" t="s">
        <v>26</v>
      </c>
      <c r="H20" s="13"/>
      <c r="I20" s="14" t="s">
        <v>6</v>
      </c>
      <c r="J20" s="14"/>
      <c r="K20" s="14" t="s">
        <v>25</v>
      </c>
      <c r="L20" s="14"/>
      <c r="M20" s="14" t="s">
        <v>26</v>
      </c>
      <c r="N20" s="3"/>
      <c r="O20" s="3"/>
      <c r="P20" s="3"/>
      <c r="Q20" s="3"/>
    </row>
    <row r="21" spans="1:17" ht="23.25" x14ac:dyDescent="0.35">
      <c r="A21" s="9"/>
      <c r="B21" s="8"/>
      <c r="C21" s="11">
        <f>J5*0.46+L5*0.12</f>
        <v>122.00000000000001</v>
      </c>
      <c r="D21" s="11"/>
      <c r="E21" s="11">
        <f>L5*0.4</f>
        <v>40</v>
      </c>
      <c r="F21" s="12"/>
      <c r="G21" s="13">
        <f>N5*0.62</f>
        <v>28.999999999999996</v>
      </c>
      <c r="H21" s="13"/>
      <c r="I21" s="14">
        <f>K5*10.65*0.28+(M5*11.7)*0.1</f>
        <v>121.76470588235296</v>
      </c>
      <c r="J21" s="14"/>
      <c r="K21" s="14">
        <f>M5*11.7*0.34</f>
        <v>40</v>
      </c>
      <c r="L21" s="14"/>
      <c r="M21" s="14" t="s">
        <v>45</v>
      </c>
      <c r="N21" s="3"/>
      <c r="O21" s="3"/>
      <c r="P21" s="3"/>
      <c r="Q21" s="3"/>
    </row>
    <row r="22" spans="1:17" ht="23.25" x14ac:dyDescent="0.35">
      <c r="A22" s="9"/>
      <c r="B22" s="8"/>
      <c r="C22" s="8"/>
      <c r="D22" s="8"/>
      <c r="E22" s="8"/>
      <c r="F22" s="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23.25" x14ac:dyDescent="0.35">
      <c r="A23" s="9"/>
      <c r="B23" s="8"/>
      <c r="C23" s="8" t="s">
        <v>15</v>
      </c>
      <c r="D23" s="8"/>
      <c r="E23" s="3" t="s">
        <v>17</v>
      </c>
      <c r="F23" s="2"/>
      <c r="G23" s="3" t="s">
        <v>14</v>
      </c>
      <c r="H23" s="3"/>
      <c r="I23" s="3"/>
      <c r="J23" s="3" t="s">
        <v>46</v>
      </c>
      <c r="K23" s="3"/>
      <c r="L23" s="3"/>
      <c r="M23" s="3"/>
      <c r="N23" s="3"/>
      <c r="O23" s="3"/>
      <c r="P23" s="3"/>
      <c r="Q23" s="3"/>
    </row>
    <row r="24" spans="1:17" ht="23.25" x14ac:dyDescent="0.35">
      <c r="A24" s="9"/>
      <c r="B24" s="8"/>
      <c r="C24" s="8">
        <f>J5/2000*P10</f>
        <v>41.25</v>
      </c>
      <c r="D24" s="8"/>
      <c r="E24" s="8">
        <f>L5/2000*P12</f>
        <v>26</v>
      </c>
      <c r="F24" s="2"/>
      <c r="G24" s="3">
        <f>N5/2000*P14</f>
        <v>7.6008064516129021</v>
      </c>
      <c r="H24" s="3"/>
      <c r="I24" s="3"/>
      <c r="J24" s="15">
        <f>SUM(C24:G24)</f>
        <v>74.850806451612897</v>
      </c>
      <c r="K24" s="3"/>
      <c r="L24" s="3"/>
      <c r="M24" s="3"/>
      <c r="N24" s="3"/>
      <c r="O24" s="3"/>
      <c r="P24" s="3"/>
      <c r="Q24" s="3"/>
    </row>
    <row r="25" spans="1:17" ht="23.25" x14ac:dyDescent="0.35">
      <c r="A25" s="2"/>
      <c r="B25" s="2"/>
      <c r="C25" s="16">
        <v>0.28000000000000003</v>
      </c>
      <c r="D25" s="2"/>
      <c r="E25" s="2" t="s">
        <v>30</v>
      </c>
      <c r="F25" s="2"/>
      <c r="G25" s="3" t="s">
        <v>14</v>
      </c>
      <c r="H25" s="3"/>
      <c r="I25" s="3"/>
      <c r="J25" s="3" t="s">
        <v>47</v>
      </c>
      <c r="K25" s="3"/>
      <c r="L25" s="3"/>
      <c r="M25" s="3"/>
      <c r="N25" s="3"/>
      <c r="O25" s="3"/>
      <c r="P25" s="3"/>
      <c r="Q25" s="3"/>
    </row>
    <row r="26" spans="1:17" ht="23.25" x14ac:dyDescent="0.35">
      <c r="A26" s="2"/>
      <c r="B26" s="2"/>
      <c r="C26" s="2">
        <f>(K5*10.65/2000)*P11</f>
        <v>48.125000000000007</v>
      </c>
      <c r="D26" s="2"/>
      <c r="E26" s="2">
        <f>(M5*11.7/2000)*P13</f>
        <v>23.52941176470588</v>
      </c>
      <c r="F26" s="2"/>
      <c r="G26" s="3">
        <f>N5/2000*P14</f>
        <v>7.6008064516129021</v>
      </c>
      <c r="H26" s="3"/>
      <c r="I26" s="3"/>
      <c r="J26" s="15">
        <f>SUM(C26:G26)</f>
        <v>79.255218216318781</v>
      </c>
      <c r="K26" s="3"/>
      <c r="L26" s="3"/>
      <c r="M26" s="3"/>
      <c r="N26" s="3"/>
      <c r="O26" s="3"/>
      <c r="P26" s="3"/>
      <c r="Q26" s="3"/>
    </row>
    <row r="27" spans="1:17" ht="23.25" x14ac:dyDescent="0.35">
      <c r="A27" s="2"/>
      <c r="B27" s="2"/>
      <c r="C27" s="2"/>
      <c r="D27" s="2"/>
      <c r="E27" s="2"/>
      <c r="F27" s="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23.25" x14ac:dyDescent="0.35">
      <c r="A28" s="9"/>
      <c r="B28" s="17"/>
      <c r="C28" s="17"/>
      <c r="D28" s="17"/>
      <c r="E28" s="17"/>
      <c r="F28" s="2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3.25" x14ac:dyDescent="0.35">
      <c r="A29" s="9"/>
      <c r="B29" s="17"/>
      <c r="C29" s="17"/>
      <c r="D29" s="17"/>
      <c r="E29" s="17"/>
      <c r="F29" s="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</sheetData>
  <mergeCells count="2">
    <mergeCell ref="A9:N9"/>
    <mergeCell ref="O9:Q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zoomScale="50" zoomScaleNormal="50" workbookViewId="0">
      <selection activeCell="P15" sqref="P15"/>
    </sheetView>
  </sheetViews>
  <sheetFormatPr defaultRowHeight="15" x14ac:dyDescent="0.25"/>
  <cols>
    <col min="1" max="1" width="19.5703125" bestFit="1" customWidth="1"/>
    <col min="2" max="2" width="23.28515625" bestFit="1" customWidth="1"/>
  </cols>
  <sheetData>
    <row r="1" spans="1:17" ht="23.25" x14ac:dyDescent="0.35">
      <c r="A1" s="2"/>
      <c r="B1" s="2" t="s">
        <v>23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3.25" x14ac:dyDescent="0.35">
      <c r="A2" s="2"/>
      <c r="B2" s="2"/>
      <c r="C2" s="2"/>
      <c r="D2" s="2"/>
      <c r="E2" s="2" t="s">
        <v>27</v>
      </c>
      <c r="F2" s="2"/>
      <c r="G2" s="3"/>
      <c r="H2" s="4">
        <v>60</v>
      </c>
      <c r="I2" s="3"/>
      <c r="J2" s="3" t="s">
        <v>28</v>
      </c>
      <c r="K2" s="3"/>
      <c r="L2" s="3"/>
      <c r="M2" s="3"/>
      <c r="N2" s="3"/>
      <c r="O2" s="3"/>
      <c r="P2" s="3"/>
      <c r="Q2" s="3"/>
    </row>
    <row r="3" spans="1:17" ht="23.25" x14ac:dyDescent="0.35">
      <c r="A3" s="2"/>
      <c r="B3" s="2" t="s">
        <v>29</v>
      </c>
      <c r="C3" s="2"/>
      <c r="D3" s="2"/>
      <c r="E3" s="5">
        <v>50</v>
      </c>
      <c r="F3" s="2">
        <v>65</v>
      </c>
      <c r="G3" s="2">
        <v>80</v>
      </c>
      <c r="H3" s="6">
        <v>95</v>
      </c>
      <c r="I3" s="2"/>
      <c r="J3" s="2" t="s">
        <v>15</v>
      </c>
      <c r="K3" s="7">
        <v>0.28000000000000003</v>
      </c>
      <c r="L3" s="2" t="s">
        <v>17</v>
      </c>
      <c r="M3" s="2" t="s">
        <v>30</v>
      </c>
      <c r="N3" s="2" t="s">
        <v>14</v>
      </c>
      <c r="O3" s="2"/>
      <c r="P3" s="2"/>
      <c r="Q3" s="2"/>
    </row>
    <row r="4" spans="1:17" ht="23.25" x14ac:dyDescent="0.35">
      <c r="A4" s="2"/>
      <c r="B4" s="8"/>
      <c r="C4" s="8"/>
      <c r="D4" s="8"/>
      <c r="E4" s="8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3.25" x14ac:dyDescent="0.35">
      <c r="A5" s="2" t="s">
        <v>31</v>
      </c>
      <c r="B5" s="8">
        <v>3.76</v>
      </c>
      <c r="C5" s="8"/>
      <c r="D5" s="8"/>
      <c r="E5" s="8">
        <f>E3*B5</f>
        <v>188</v>
      </c>
      <c r="F5" s="8">
        <f>F3*B5</f>
        <v>244.39999999999998</v>
      </c>
      <c r="G5" s="8">
        <f>G3*B5</f>
        <v>300.79999999999995</v>
      </c>
      <c r="H5" s="8">
        <f>H3*B5</f>
        <v>357.2</v>
      </c>
      <c r="I5" s="3"/>
      <c r="J5" s="3">
        <f>(H2*B5)/0.46</f>
        <v>490.43478260869563</v>
      </c>
      <c r="K5" s="3">
        <f>((H2*B5)/0.28)/10.65</f>
        <v>75.65392354124748</v>
      </c>
      <c r="L5" s="3">
        <f>(H2*B6)/0.4</f>
        <v>131.99999999999997</v>
      </c>
      <c r="M5" s="3">
        <f>((H2*B6)/0.34)/11.7</f>
        <v>13.273001508295625</v>
      </c>
      <c r="N5" s="3">
        <f>(H2*B7)/0.62</f>
        <v>127.74193548387098</v>
      </c>
      <c r="O5" s="3"/>
      <c r="P5" s="3"/>
      <c r="Q5" s="3"/>
    </row>
    <row r="6" spans="1:17" ht="23.25" x14ac:dyDescent="0.35">
      <c r="A6" s="2" t="s">
        <v>32</v>
      </c>
      <c r="B6" s="2">
        <v>0.88</v>
      </c>
      <c r="C6" s="2"/>
      <c r="D6" s="2"/>
      <c r="E6" s="8">
        <f>E3*B6</f>
        <v>44</v>
      </c>
      <c r="F6" s="2">
        <f>F3*B6</f>
        <v>57.2</v>
      </c>
      <c r="G6" s="3">
        <f>G3*B6</f>
        <v>70.400000000000006</v>
      </c>
      <c r="H6" s="3">
        <f>H3*B6</f>
        <v>83.6</v>
      </c>
      <c r="I6" s="3"/>
      <c r="J6" s="3"/>
      <c r="K6" s="3"/>
      <c r="L6" s="3"/>
      <c r="M6" s="3"/>
      <c r="N6" s="3"/>
      <c r="O6" s="3"/>
      <c r="P6" s="3"/>
      <c r="Q6" s="3"/>
    </row>
    <row r="7" spans="1:17" ht="23.25" x14ac:dyDescent="0.35">
      <c r="A7" s="2" t="s">
        <v>14</v>
      </c>
      <c r="B7" s="2">
        <v>1.32</v>
      </c>
      <c r="C7" s="2"/>
      <c r="D7" s="2"/>
      <c r="E7" s="8">
        <f>E3*B7</f>
        <v>66</v>
      </c>
      <c r="F7" s="2">
        <f>F3*B7</f>
        <v>85.8</v>
      </c>
      <c r="G7" s="3">
        <f>G3*B7</f>
        <v>105.60000000000001</v>
      </c>
      <c r="H7" s="3">
        <f>H3*B7</f>
        <v>125.4</v>
      </c>
      <c r="I7" s="3"/>
      <c r="J7" s="3"/>
      <c r="K7" s="3"/>
      <c r="L7" s="3"/>
      <c r="M7" s="3"/>
      <c r="N7" s="3"/>
      <c r="O7" s="3"/>
      <c r="P7" s="3"/>
      <c r="Q7" s="3"/>
    </row>
    <row r="8" spans="1:17" ht="23.25" x14ac:dyDescent="0.35">
      <c r="A8" s="2"/>
      <c r="B8" s="2"/>
      <c r="C8" s="2"/>
      <c r="D8" s="2"/>
      <c r="E8" s="8"/>
      <c r="F8" s="2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27.75" x14ac:dyDescent="0.4">
      <c r="A9" s="98" t="s">
        <v>33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9" t="s">
        <v>34</v>
      </c>
      <c r="P9" s="99"/>
      <c r="Q9" s="99"/>
    </row>
    <row r="10" spans="1:17" ht="23.25" x14ac:dyDescent="0.35">
      <c r="A10" s="9" t="s">
        <v>35</v>
      </c>
      <c r="B10" s="8">
        <v>0.18</v>
      </c>
      <c r="C10" s="8"/>
      <c r="D10" s="8"/>
      <c r="E10" s="8">
        <f>E3*B10</f>
        <v>9</v>
      </c>
      <c r="F10" s="2">
        <f>F3*B10</f>
        <v>11.7</v>
      </c>
      <c r="G10" s="3">
        <f>G3*B10</f>
        <v>14.399999999999999</v>
      </c>
      <c r="H10" s="3">
        <f>H3*B10</f>
        <v>17.099999999999998</v>
      </c>
      <c r="I10" s="3"/>
      <c r="J10" s="3"/>
      <c r="K10" s="3"/>
      <c r="L10" s="3"/>
      <c r="M10" s="3"/>
      <c r="N10" s="3"/>
      <c r="O10" s="3" t="s">
        <v>15</v>
      </c>
      <c r="P10" s="4">
        <v>345</v>
      </c>
      <c r="Q10" s="3"/>
    </row>
    <row r="11" spans="1:17" ht="23.25" x14ac:dyDescent="0.35">
      <c r="A11" s="9" t="s">
        <v>36</v>
      </c>
      <c r="B11" s="8">
        <v>0.18</v>
      </c>
      <c r="C11" s="8"/>
      <c r="D11" s="8"/>
      <c r="E11" s="8">
        <f>E3*B11</f>
        <v>9</v>
      </c>
      <c r="F11" s="2">
        <f>F3*B11</f>
        <v>11.7</v>
      </c>
      <c r="G11" s="3">
        <f>G3*B11</f>
        <v>14.399999999999999</v>
      </c>
      <c r="H11" s="3">
        <f>H3*B11</f>
        <v>17.099999999999998</v>
      </c>
      <c r="I11" s="3"/>
      <c r="J11" s="3"/>
      <c r="K11" s="3"/>
      <c r="L11" s="3"/>
      <c r="M11" s="3"/>
      <c r="N11" s="3"/>
      <c r="O11" s="10">
        <v>0.28000000000000003</v>
      </c>
      <c r="P11" s="4">
        <v>245</v>
      </c>
      <c r="Q11" s="3"/>
    </row>
    <row r="12" spans="1:17" ht="23.25" x14ac:dyDescent="0.35">
      <c r="A12" s="9" t="s">
        <v>7</v>
      </c>
      <c r="B12" s="8">
        <v>0.1</v>
      </c>
      <c r="C12" s="8"/>
      <c r="D12" s="8"/>
      <c r="E12" s="8">
        <f>E3*B12</f>
        <v>5</v>
      </c>
      <c r="F12" s="2">
        <f>F3*B12</f>
        <v>6.5</v>
      </c>
      <c r="G12" s="3">
        <f>G3*B12</f>
        <v>8</v>
      </c>
      <c r="H12" s="3">
        <f>H3*B12</f>
        <v>9.5</v>
      </c>
      <c r="I12" s="3"/>
      <c r="J12" s="3"/>
      <c r="K12" s="3"/>
      <c r="L12" s="3"/>
      <c r="M12" s="3"/>
      <c r="N12" s="3"/>
      <c r="O12" s="3" t="s">
        <v>17</v>
      </c>
      <c r="P12" s="4">
        <v>520</v>
      </c>
      <c r="Q12" s="3"/>
    </row>
    <row r="13" spans="1:17" ht="23.25" x14ac:dyDescent="0.35">
      <c r="A13" s="9" t="s">
        <v>37</v>
      </c>
      <c r="B13" s="8">
        <v>1E-3</v>
      </c>
      <c r="C13" s="8"/>
      <c r="D13" s="8"/>
      <c r="E13" s="8">
        <f>E3*B13</f>
        <v>0.05</v>
      </c>
      <c r="F13" s="2">
        <f>F3*B13</f>
        <v>6.5000000000000002E-2</v>
      </c>
      <c r="G13" s="3">
        <f>G3*B13</f>
        <v>0.08</v>
      </c>
      <c r="H13" s="3">
        <f>H3*B13</f>
        <v>9.5000000000000001E-2</v>
      </c>
      <c r="I13" s="3"/>
      <c r="J13" s="3"/>
      <c r="K13" s="3"/>
      <c r="L13" s="3"/>
      <c r="M13" s="3"/>
      <c r="N13" s="3"/>
      <c r="O13" s="3" t="s">
        <v>30</v>
      </c>
      <c r="P13" s="4">
        <v>400</v>
      </c>
      <c r="Q13" s="3"/>
    </row>
    <row r="14" spans="1:17" ht="23.25" x14ac:dyDescent="0.35">
      <c r="A14" s="9" t="s">
        <v>38</v>
      </c>
      <c r="B14" s="8">
        <v>1.1999999999999999E-3</v>
      </c>
      <c r="C14" s="8"/>
      <c r="D14" s="8"/>
      <c r="E14" s="8">
        <f>E3*B14</f>
        <v>0.06</v>
      </c>
      <c r="F14" s="2">
        <f>F3*B14</f>
        <v>7.8E-2</v>
      </c>
      <c r="G14" s="3">
        <f>G3*B14</f>
        <v>9.5999999999999988E-2</v>
      </c>
      <c r="H14" s="3">
        <f>H3*B14</f>
        <v>0.11399999999999999</v>
      </c>
      <c r="I14" s="3"/>
      <c r="J14" s="3"/>
      <c r="K14" s="3"/>
      <c r="L14" s="3"/>
      <c r="M14" s="3"/>
      <c r="N14" s="3"/>
      <c r="O14" s="3" t="s">
        <v>14</v>
      </c>
      <c r="P14" s="4">
        <v>325</v>
      </c>
      <c r="Q14" s="3"/>
    </row>
    <row r="15" spans="1:17" ht="23.25" x14ac:dyDescent="0.35">
      <c r="A15" s="9" t="s">
        <v>39</v>
      </c>
      <c r="B15" s="8">
        <v>1E-3</v>
      </c>
      <c r="C15" s="8"/>
      <c r="D15" s="8"/>
      <c r="E15" s="8">
        <f>E3*B15</f>
        <v>0.05</v>
      </c>
      <c r="F15" s="2">
        <f>F3*B15</f>
        <v>6.5000000000000002E-2</v>
      </c>
      <c r="G15" s="3">
        <f>G3*B15</f>
        <v>0.08</v>
      </c>
      <c r="H15" s="3">
        <f>H3*B15</f>
        <v>9.5000000000000001E-2</v>
      </c>
      <c r="I15" s="3"/>
      <c r="J15" s="3"/>
      <c r="K15" s="3"/>
      <c r="L15" s="3"/>
      <c r="M15" s="3"/>
      <c r="N15" s="3"/>
      <c r="O15" s="3"/>
      <c r="P15" s="3"/>
      <c r="Q15" s="3"/>
    </row>
    <row r="16" spans="1:17" ht="23.25" x14ac:dyDescent="0.35">
      <c r="A16" s="9" t="s">
        <v>40</v>
      </c>
      <c r="B16" s="8">
        <v>0.01</v>
      </c>
      <c r="C16" s="8"/>
      <c r="D16" s="8"/>
      <c r="E16" s="8">
        <f>E3*B16</f>
        <v>0.5</v>
      </c>
      <c r="F16" s="2">
        <f>F3*B16</f>
        <v>0.65</v>
      </c>
      <c r="G16" s="3">
        <f>G3*B16</f>
        <v>0.8</v>
      </c>
      <c r="H16" s="3">
        <f>H3*B16</f>
        <v>0.95000000000000007</v>
      </c>
      <c r="I16" s="3"/>
      <c r="J16" s="3"/>
      <c r="K16" s="3"/>
      <c r="L16" s="3"/>
      <c r="M16" s="3"/>
      <c r="N16" s="3"/>
      <c r="O16" s="3"/>
      <c r="P16" s="3"/>
      <c r="Q16" s="3"/>
    </row>
    <row r="17" spans="1:17" ht="23.25" x14ac:dyDescent="0.35">
      <c r="A17" s="9" t="s">
        <v>41</v>
      </c>
      <c r="B17" s="8">
        <v>1.1999999999999999E-3</v>
      </c>
      <c r="C17" s="8"/>
      <c r="D17" s="8"/>
      <c r="E17" s="8">
        <f>E3*B17</f>
        <v>0.06</v>
      </c>
      <c r="F17" s="2">
        <f>F3*B17</f>
        <v>7.8E-2</v>
      </c>
      <c r="G17" s="3">
        <f>G3*B17</f>
        <v>9.5999999999999988E-2</v>
      </c>
      <c r="H17" s="3">
        <f>H3*B17</f>
        <v>0.11399999999999999</v>
      </c>
      <c r="I17" s="3"/>
      <c r="J17" s="3"/>
      <c r="K17" s="3"/>
      <c r="L17" s="3"/>
      <c r="M17" s="3"/>
      <c r="N17" s="3"/>
      <c r="O17" s="3"/>
      <c r="P17" s="3"/>
      <c r="Q17" s="3"/>
    </row>
    <row r="18" spans="1:17" ht="23.25" x14ac:dyDescent="0.35">
      <c r="A18" s="9"/>
      <c r="B18" s="8"/>
      <c r="C18" s="8"/>
      <c r="D18" s="8"/>
      <c r="E18" s="8"/>
      <c r="F18" s="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23.25" x14ac:dyDescent="0.35">
      <c r="A19" s="9" t="s">
        <v>42</v>
      </c>
      <c r="B19" s="8"/>
      <c r="C19" s="11" t="s">
        <v>43</v>
      </c>
      <c r="D19" s="11"/>
      <c r="E19" s="11"/>
      <c r="F19" s="12"/>
      <c r="G19" s="13"/>
      <c r="H19" s="13"/>
      <c r="I19" s="14" t="s">
        <v>44</v>
      </c>
      <c r="J19" s="14"/>
      <c r="K19" s="14"/>
      <c r="L19" s="14"/>
      <c r="M19" s="14"/>
      <c r="N19" s="3"/>
      <c r="O19" s="3"/>
      <c r="P19" s="3"/>
      <c r="Q19" s="3"/>
    </row>
    <row r="20" spans="1:17" ht="23.25" x14ac:dyDescent="0.35">
      <c r="A20" s="9"/>
      <c r="B20" s="8"/>
      <c r="C20" s="11" t="s">
        <v>6</v>
      </c>
      <c r="D20" s="11"/>
      <c r="E20" s="11" t="s">
        <v>25</v>
      </c>
      <c r="F20" s="12"/>
      <c r="G20" s="13" t="s">
        <v>26</v>
      </c>
      <c r="H20" s="13"/>
      <c r="I20" s="14" t="s">
        <v>6</v>
      </c>
      <c r="J20" s="14"/>
      <c r="K20" s="14" t="s">
        <v>25</v>
      </c>
      <c r="L20" s="14"/>
      <c r="M20" s="14" t="s">
        <v>26</v>
      </c>
      <c r="N20" s="3"/>
      <c r="O20" s="3"/>
      <c r="P20" s="3"/>
      <c r="Q20" s="3"/>
    </row>
    <row r="21" spans="1:17" ht="23.25" x14ac:dyDescent="0.35">
      <c r="A21" s="9"/>
      <c r="B21" s="8"/>
      <c r="C21" s="11">
        <f>J5*0.46+L5*0.12</f>
        <v>241.44</v>
      </c>
      <c r="D21" s="11"/>
      <c r="E21" s="11">
        <f>L5*0.4</f>
        <v>52.79999999999999</v>
      </c>
      <c r="F21" s="12"/>
      <c r="G21" s="13">
        <f>N5*0.62</f>
        <v>79.2</v>
      </c>
      <c r="H21" s="13"/>
      <c r="I21" s="14">
        <f>K5*10.65*0.28+(M5*11.7)*0.1</f>
        <v>241.12941176470588</v>
      </c>
      <c r="J21" s="14"/>
      <c r="K21" s="14">
        <f>M5*11.7*0.34</f>
        <v>52.8</v>
      </c>
      <c r="L21" s="14"/>
      <c r="M21" s="14" t="s">
        <v>45</v>
      </c>
      <c r="N21" s="3"/>
      <c r="O21" s="3"/>
      <c r="P21" s="3"/>
      <c r="Q21" s="3"/>
    </row>
    <row r="22" spans="1:17" ht="23.25" x14ac:dyDescent="0.35">
      <c r="A22" s="9"/>
      <c r="B22" s="8"/>
      <c r="C22" s="8"/>
      <c r="D22" s="8"/>
      <c r="E22" s="8"/>
      <c r="F22" s="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23.25" x14ac:dyDescent="0.35">
      <c r="A23" s="9"/>
      <c r="B23" s="8"/>
      <c r="C23" s="8" t="s">
        <v>15</v>
      </c>
      <c r="D23" s="8"/>
      <c r="E23" s="3" t="s">
        <v>17</v>
      </c>
      <c r="F23" s="2"/>
      <c r="G23" s="3" t="s">
        <v>14</v>
      </c>
      <c r="H23" s="3"/>
      <c r="I23" s="3"/>
      <c r="J23" s="3" t="s">
        <v>52</v>
      </c>
      <c r="K23" s="3"/>
      <c r="L23" s="3"/>
      <c r="M23" s="3"/>
      <c r="N23" s="3"/>
      <c r="O23" s="3"/>
      <c r="P23" s="3"/>
      <c r="Q23" s="3"/>
    </row>
    <row r="24" spans="1:17" ht="23.25" x14ac:dyDescent="0.35">
      <c r="A24" s="9"/>
      <c r="B24" s="8"/>
      <c r="C24" s="8">
        <f>J5/2000*P10</f>
        <v>84.6</v>
      </c>
      <c r="D24" s="8"/>
      <c r="E24" s="8">
        <f>L5/2000*P12</f>
        <v>34.319999999999993</v>
      </c>
      <c r="F24" s="2"/>
      <c r="G24" s="3">
        <f>N5/2000*P14</f>
        <v>20.758064516129032</v>
      </c>
      <c r="H24" s="3"/>
      <c r="I24" s="3"/>
      <c r="J24" s="15">
        <f>SUM(E24:G24)</f>
        <v>55.078064516129025</v>
      </c>
      <c r="K24" s="3"/>
      <c r="L24" s="3"/>
      <c r="M24" s="3"/>
      <c r="N24" s="3"/>
      <c r="O24" s="3"/>
      <c r="P24" s="3"/>
      <c r="Q24" s="3"/>
    </row>
    <row r="25" spans="1:17" ht="23.25" x14ac:dyDescent="0.35">
      <c r="A25" s="2"/>
      <c r="B25" s="2"/>
      <c r="C25" s="16">
        <v>0.28000000000000003</v>
      </c>
      <c r="D25" s="2"/>
      <c r="E25" s="2" t="s">
        <v>30</v>
      </c>
      <c r="F25" s="2"/>
      <c r="G25" s="3" t="s">
        <v>14</v>
      </c>
      <c r="H25" s="3"/>
      <c r="I25" s="3"/>
      <c r="J25" s="3" t="s">
        <v>53</v>
      </c>
      <c r="K25" s="3"/>
      <c r="L25" s="3"/>
      <c r="M25" s="3"/>
      <c r="N25" s="3"/>
      <c r="O25" s="3"/>
      <c r="P25" s="3"/>
      <c r="Q25" s="3"/>
    </row>
    <row r="26" spans="1:17" ht="23.25" x14ac:dyDescent="0.35">
      <c r="A26" s="2"/>
      <c r="B26" s="2"/>
      <c r="C26" s="2">
        <f>(K5*10.65/2000)*P11</f>
        <v>98.7</v>
      </c>
      <c r="D26" s="2"/>
      <c r="E26" s="2">
        <f>(M5*11.7/2000)*P13</f>
        <v>31.058823529411761</v>
      </c>
      <c r="F26" s="2"/>
      <c r="G26" s="3">
        <f>N5/2000*P14</f>
        <v>20.758064516129032</v>
      </c>
      <c r="H26" s="3"/>
      <c r="I26" s="3"/>
      <c r="J26" s="15">
        <f>SUM(E26:G26)</f>
        <v>51.816888045540793</v>
      </c>
      <c r="K26" s="3"/>
      <c r="L26" s="3"/>
      <c r="M26" s="3"/>
      <c r="N26" s="3"/>
      <c r="O26" s="3"/>
      <c r="P26" s="3"/>
      <c r="Q26" s="3"/>
    </row>
    <row r="27" spans="1:17" ht="23.25" x14ac:dyDescent="0.35">
      <c r="A27" s="2"/>
      <c r="B27" s="2"/>
      <c r="C27" s="2"/>
      <c r="D27" s="2"/>
      <c r="E27" s="2"/>
      <c r="F27" s="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</sheetData>
  <mergeCells count="2">
    <mergeCell ref="A9:N9"/>
    <mergeCell ref="O9:Q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zoomScale="60" zoomScaleNormal="60" workbookViewId="0">
      <selection activeCell="S14" sqref="S14"/>
    </sheetView>
  </sheetViews>
  <sheetFormatPr defaultRowHeight="15" x14ac:dyDescent="0.25"/>
  <cols>
    <col min="1" max="1" width="19.7109375" bestFit="1" customWidth="1"/>
    <col min="2" max="2" width="24" bestFit="1" customWidth="1"/>
    <col min="3" max="3" width="9.140625" customWidth="1"/>
    <col min="5" max="6" width="9.140625" customWidth="1"/>
  </cols>
  <sheetData>
    <row r="1" spans="1:17" ht="23.25" x14ac:dyDescent="0.35">
      <c r="A1" s="2"/>
      <c r="B1" s="2" t="s">
        <v>24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3.25" x14ac:dyDescent="0.35">
      <c r="A2" s="2"/>
      <c r="B2" s="2"/>
      <c r="C2" s="2"/>
      <c r="D2" s="2"/>
      <c r="E2" s="2" t="s">
        <v>27</v>
      </c>
      <c r="F2" s="2"/>
      <c r="G2" s="3"/>
      <c r="H2" s="4">
        <v>100</v>
      </c>
      <c r="I2" s="3"/>
      <c r="J2" s="3" t="s">
        <v>28</v>
      </c>
      <c r="K2" s="3"/>
      <c r="L2" s="3"/>
      <c r="M2" s="3"/>
      <c r="N2" s="3"/>
      <c r="O2" s="3"/>
      <c r="P2" s="3"/>
      <c r="Q2" s="3"/>
    </row>
    <row r="3" spans="1:17" ht="23.25" x14ac:dyDescent="0.35">
      <c r="A3" s="2"/>
      <c r="B3" s="2" t="s">
        <v>29</v>
      </c>
      <c r="C3" s="2"/>
      <c r="D3" s="2"/>
      <c r="E3" s="5">
        <v>50</v>
      </c>
      <c r="F3" s="2">
        <v>60</v>
      </c>
      <c r="G3" s="2">
        <v>70</v>
      </c>
      <c r="H3" s="6">
        <v>80</v>
      </c>
      <c r="I3" s="2"/>
      <c r="J3" s="2" t="s">
        <v>15</v>
      </c>
      <c r="K3" s="7">
        <v>0.28000000000000003</v>
      </c>
      <c r="L3" s="2" t="s">
        <v>17</v>
      </c>
      <c r="M3" s="2" t="s">
        <v>30</v>
      </c>
      <c r="N3" s="2" t="s">
        <v>14</v>
      </c>
      <c r="O3" s="2"/>
      <c r="P3" s="2"/>
      <c r="Q3" s="2"/>
    </row>
    <row r="4" spans="1:17" ht="23.25" x14ac:dyDescent="0.35">
      <c r="A4" s="2"/>
      <c r="B4" s="8"/>
      <c r="C4" s="8"/>
      <c r="D4" s="8"/>
      <c r="E4" s="8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3.25" x14ac:dyDescent="0.35">
      <c r="A5" s="2" t="s">
        <v>31</v>
      </c>
      <c r="B5" s="8">
        <v>1.25</v>
      </c>
      <c r="C5" s="8"/>
      <c r="D5" s="8"/>
      <c r="E5" s="8">
        <f>E3*B5</f>
        <v>62.5</v>
      </c>
      <c r="F5" s="8">
        <f>F3*B5</f>
        <v>75</v>
      </c>
      <c r="G5" s="8">
        <f>G3*B5</f>
        <v>87.5</v>
      </c>
      <c r="H5" s="8">
        <f>H3*B5</f>
        <v>100</v>
      </c>
      <c r="I5" s="3"/>
      <c r="J5" s="3">
        <f>(H2*B5)/0.46</f>
        <v>271.73913043478262</v>
      </c>
      <c r="K5" s="3">
        <f>((H2*B5)/0.28)/10.65</f>
        <v>41.918175720992615</v>
      </c>
      <c r="L5" s="3">
        <f>(H2*B6)/0.4</f>
        <v>157.5</v>
      </c>
      <c r="M5" s="3">
        <f>((H2*B6)/0.34)/11.7</f>
        <v>15.837104072398191</v>
      </c>
      <c r="N5" s="3">
        <f>(H2*B7)/0.62</f>
        <v>61.774193548387096</v>
      </c>
      <c r="O5" s="3"/>
      <c r="P5" s="3"/>
      <c r="Q5" s="3"/>
    </row>
    <row r="6" spans="1:17" ht="23.25" x14ac:dyDescent="0.35">
      <c r="A6" s="2" t="s">
        <v>32</v>
      </c>
      <c r="B6" s="2">
        <v>0.63</v>
      </c>
      <c r="C6" s="2"/>
      <c r="D6" s="2"/>
      <c r="E6" s="8">
        <f>E3*B6</f>
        <v>31.5</v>
      </c>
      <c r="F6" s="2">
        <f>F3*B6</f>
        <v>37.799999999999997</v>
      </c>
      <c r="G6" s="3">
        <f>G3*B6</f>
        <v>44.1</v>
      </c>
      <c r="H6" s="3">
        <f>H3*B6</f>
        <v>50.4</v>
      </c>
      <c r="I6" s="3"/>
      <c r="J6" s="3"/>
      <c r="K6" s="3"/>
      <c r="L6" s="3"/>
      <c r="M6" s="3"/>
      <c r="N6" s="3"/>
      <c r="O6" s="3"/>
      <c r="P6" s="3"/>
      <c r="Q6" s="3"/>
    </row>
    <row r="7" spans="1:17" ht="23.25" x14ac:dyDescent="0.35">
      <c r="A7" s="2" t="s">
        <v>14</v>
      </c>
      <c r="B7" s="2">
        <v>0.38300000000000001</v>
      </c>
      <c r="C7" s="2"/>
      <c r="D7" s="2"/>
      <c r="E7" s="8">
        <f>E3*B7</f>
        <v>19.149999999999999</v>
      </c>
      <c r="F7" s="2">
        <f>F3*B7</f>
        <v>22.98</v>
      </c>
      <c r="G7" s="3">
        <f>G3*B7</f>
        <v>26.810000000000002</v>
      </c>
      <c r="H7" s="3">
        <f>H3*B7</f>
        <v>30.64</v>
      </c>
      <c r="I7" s="3"/>
      <c r="J7" s="3"/>
      <c r="K7" s="3"/>
      <c r="L7" s="3"/>
      <c r="M7" s="3"/>
      <c r="N7" s="3"/>
      <c r="O7" s="3"/>
      <c r="P7" s="3"/>
      <c r="Q7" s="3"/>
    </row>
    <row r="8" spans="1:17" ht="23.25" x14ac:dyDescent="0.35">
      <c r="A8" s="2"/>
      <c r="B8" s="2"/>
      <c r="C8" s="2"/>
      <c r="D8" s="2"/>
      <c r="E8" s="8"/>
      <c r="F8" s="2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27.75" x14ac:dyDescent="0.4">
      <c r="A9" s="98" t="s">
        <v>33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9" t="s">
        <v>34</v>
      </c>
      <c r="P9" s="99"/>
      <c r="Q9" s="99"/>
    </row>
    <row r="10" spans="1:17" ht="23.25" x14ac:dyDescent="0.35">
      <c r="A10" s="9" t="s">
        <v>35</v>
      </c>
      <c r="B10" s="8">
        <v>3.3000000000000002E-2</v>
      </c>
      <c r="C10" s="8"/>
      <c r="D10" s="8"/>
      <c r="E10" s="8">
        <f>E3*B10</f>
        <v>1.6500000000000001</v>
      </c>
      <c r="F10" s="2">
        <f>F3*B10</f>
        <v>1.98</v>
      </c>
      <c r="G10" s="3">
        <f>G3*B10</f>
        <v>2.31</v>
      </c>
      <c r="H10" s="3">
        <f>H3*B10</f>
        <v>2.64</v>
      </c>
      <c r="I10" s="3"/>
      <c r="J10" s="3"/>
      <c r="K10" s="3"/>
      <c r="L10" s="3"/>
      <c r="M10" s="3"/>
      <c r="N10" s="3"/>
      <c r="O10" s="3" t="s">
        <v>15</v>
      </c>
      <c r="P10" s="4">
        <v>345</v>
      </c>
      <c r="Q10" s="3"/>
    </row>
    <row r="11" spans="1:17" ht="23.25" x14ac:dyDescent="0.35">
      <c r="A11" s="9" t="s">
        <v>36</v>
      </c>
      <c r="B11" s="8">
        <v>0.15</v>
      </c>
      <c r="C11" s="8"/>
      <c r="D11" s="8"/>
      <c r="E11" s="8">
        <f>E3*B11</f>
        <v>7.5</v>
      </c>
      <c r="F11" s="2">
        <f>F3*B11</f>
        <v>9</v>
      </c>
      <c r="G11" s="3">
        <f>G3*B11</f>
        <v>10.5</v>
      </c>
      <c r="H11" s="3">
        <f>H3*B11</f>
        <v>12</v>
      </c>
      <c r="I11" s="3"/>
      <c r="J11" s="3"/>
      <c r="K11" s="3"/>
      <c r="L11" s="3"/>
      <c r="M11" s="3"/>
      <c r="N11" s="3"/>
      <c r="O11" s="10">
        <v>0.28000000000000003</v>
      </c>
      <c r="P11" s="4">
        <v>245</v>
      </c>
      <c r="Q11" s="3"/>
    </row>
    <row r="12" spans="1:17" ht="23.25" x14ac:dyDescent="0.35">
      <c r="A12" s="9" t="s">
        <v>7</v>
      </c>
      <c r="B12" s="8">
        <v>8.3000000000000004E-2</v>
      </c>
      <c r="C12" s="8"/>
      <c r="D12" s="8"/>
      <c r="E12" s="8">
        <f>E3*B12</f>
        <v>4.1500000000000004</v>
      </c>
      <c r="F12" s="2">
        <f>F3*B12</f>
        <v>4.9800000000000004</v>
      </c>
      <c r="G12" s="3">
        <f>G3*B12</f>
        <v>5.8100000000000005</v>
      </c>
      <c r="H12" s="3">
        <f>H3*B12</f>
        <v>6.6400000000000006</v>
      </c>
      <c r="I12" s="3"/>
      <c r="J12" s="3"/>
      <c r="K12" s="3"/>
      <c r="L12" s="3"/>
      <c r="M12" s="3"/>
      <c r="N12" s="3"/>
      <c r="O12" s="3" t="s">
        <v>17</v>
      </c>
      <c r="P12" s="4">
        <v>520</v>
      </c>
      <c r="Q12" s="3"/>
    </row>
    <row r="13" spans="1:17" ht="23.25" x14ac:dyDescent="0.35">
      <c r="A13" s="9" t="s">
        <v>37</v>
      </c>
      <c r="B13" s="8">
        <v>3.5000000000000001E-3</v>
      </c>
      <c r="C13" s="8"/>
      <c r="D13" s="8"/>
      <c r="E13" s="8">
        <f>E3*B13</f>
        <v>0.17500000000000002</v>
      </c>
      <c r="F13" s="2">
        <f>F3*B13</f>
        <v>0.21</v>
      </c>
      <c r="G13" s="3">
        <f>G3*B13</f>
        <v>0.245</v>
      </c>
      <c r="H13" s="3">
        <f>H3*B13</f>
        <v>0.28000000000000003</v>
      </c>
      <c r="I13" s="3"/>
      <c r="J13" s="3"/>
      <c r="K13" s="3"/>
      <c r="L13" s="3"/>
      <c r="M13" s="3"/>
      <c r="N13" s="3"/>
      <c r="O13" s="3" t="s">
        <v>30</v>
      </c>
      <c r="P13" s="4">
        <v>400</v>
      </c>
      <c r="Q13" s="3"/>
    </row>
    <row r="14" spans="1:17" ht="23.25" x14ac:dyDescent="0.35">
      <c r="A14" s="9" t="s">
        <v>38</v>
      </c>
      <c r="B14" s="8">
        <v>2.3E-3</v>
      </c>
      <c r="C14" s="8"/>
      <c r="D14" s="8"/>
      <c r="E14" s="8">
        <f>E3*B14</f>
        <v>0.11499999999999999</v>
      </c>
      <c r="F14" s="2">
        <f>F3*B14</f>
        <v>0.13800000000000001</v>
      </c>
      <c r="G14" s="3">
        <f>G3*B14</f>
        <v>0.161</v>
      </c>
      <c r="H14" s="3">
        <f>H3*B14</f>
        <v>0.184</v>
      </c>
      <c r="I14" s="3"/>
      <c r="J14" s="3"/>
      <c r="K14" s="3"/>
      <c r="L14" s="3"/>
      <c r="M14" s="3"/>
      <c r="N14" s="3"/>
      <c r="O14" s="3" t="s">
        <v>14</v>
      </c>
      <c r="P14" s="4">
        <v>325</v>
      </c>
      <c r="Q14" s="3"/>
    </row>
    <row r="15" spans="1:17" ht="23.25" x14ac:dyDescent="0.35">
      <c r="A15" s="9" t="s">
        <v>39</v>
      </c>
      <c r="B15" s="8">
        <v>8.3000000000000001E-4</v>
      </c>
      <c r="C15" s="8"/>
      <c r="D15" s="8"/>
      <c r="E15" s="8">
        <f>E3*B15</f>
        <v>4.1500000000000002E-2</v>
      </c>
      <c r="F15" s="2">
        <f>F3*B15</f>
        <v>4.9799999999999997E-2</v>
      </c>
      <c r="G15" s="3">
        <f>G3*B15</f>
        <v>5.8099999999999999E-2</v>
      </c>
      <c r="H15" s="3">
        <f>H3*B15</f>
        <v>6.6400000000000001E-2</v>
      </c>
      <c r="I15" s="3"/>
      <c r="J15" s="3"/>
      <c r="K15" s="3"/>
      <c r="L15" s="3"/>
      <c r="M15" s="3"/>
      <c r="N15" s="3"/>
      <c r="O15" s="3"/>
      <c r="P15" s="3"/>
      <c r="Q15" s="3"/>
    </row>
    <row r="16" spans="1:17" ht="23.25" x14ac:dyDescent="0.35">
      <c r="A16" s="9" t="s">
        <v>40</v>
      </c>
      <c r="B16" s="8">
        <v>7.4999999999999997E-3</v>
      </c>
      <c r="C16" s="8"/>
      <c r="D16" s="8"/>
      <c r="E16" s="8">
        <f>E3*B16</f>
        <v>0.375</v>
      </c>
      <c r="F16" s="2">
        <f>F3*B16</f>
        <v>0.44999999999999996</v>
      </c>
      <c r="G16" s="3">
        <f>G3*B16</f>
        <v>0.52500000000000002</v>
      </c>
      <c r="H16" s="3">
        <f>H3*B16</f>
        <v>0.6</v>
      </c>
      <c r="I16" s="3"/>
      <c r="J16" s="3"/>
      <c r="K16" s="3"/>
      <c r="L16" s="3"/>
      <c r="M16" s="3"/>
      <c r="N16" s="3"/>
      <c r="O16" s="3"/>
      <c r="P16" s="3"/>
      <c r="Q16" s="3"/>
    </row>
    <row r="17" spans="1:18" ht="23.25" x14ac:dyDescent="0.35">
      <c r="A17" s="9" t="s">
        <v>41</v>
      </c>
      <c r="B17" s="8">
        <v>1E-3</v>
      </c>
      <c r="C17" s="8"/>
      <c r="D17" s="8"/>
      <c r="E17" s="8">
        <f>E3*B17</f>
        <v>0.05</v>
      </c>
      <c r="F17" s="2">
        <f>F3*B17</f>
        <v>0.06</v>
      </c>
      <c r="G17" s="3">
        <f>G3*B17</f>
        <v>7.0000000000000007E-2</v>
      </c>
      <c r="H17" s="3">
        <f>H3*B17</f>
        <v>0.08</v>
      </c>
      <c r="I17" s="3"/>
      <c r="J17" s="3"/>
      <c r="K17" s="3"/>
      <c r="L17" s="3"/>
      <c r="M17" s="3"/>
      <c r="N17" s="3"/>
      <c r="O17" s="3"/>
      <c r="P17" s="3"/>
      <c r="Q17" s="3"/>
    </row>
    <row r="18" spans="1:18" ht="23.25" x14ac:dyDescent="0.35">
      <c r="A18" s="9"/>
      <c r="B18" s="8"/>
      <c r="C18" s="8"/>
      <c r="D18" s="8"/>
      <c r="E18" s="8"/>
      <c r="F18" s="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8" ht="23.25" x14ac:dyDescent="0.35">
      <c r="A19" s="9" t="s">
        <v>42</v>
      </c>
      <c r="B19" s="8"/>
      <c r="C19" s="11" t="s">
        <v>43</v>
      </c>
      <c r="D19" s="11"/>
      <c r="E19" s="11"/>
      <c r="F19" s="12"/>
      <c r="G19" s="13"/>
      <c r="H19" s="13"/>
      <c r="I19" s="14" t="s">
        <v>44</v>
      </c>
      <c r="J19" s="14"/>
      <c r="K19" s="14"/>
      <c r="L19" s="14"/>
      <c r="M19" s="14"/>
      <c r="N19" s="3"/>
      <c r="O19" s="3"/>
      <c r="P19" s="3"/>
      <c r="Q19" s="3"/>
    </row>
    <row r="20" spans="1:18" ht="23.25" x14ac:dyDescent="0.35">
      <c r="A20" s="9"/>
      <c r="B20" s="8"/>
      <c r="C20" s="11" t="s">
        <v>6</v>
      </c>
      <c r="D20" s="11"/>
      <c r="E20" s="11" t="s">
        <v>25</v>
      </c>
      <c r="F20" s="12"/>
      <c r="G20" s="13" t="s">
        <v>26</v>
      </c>
      <c r="H20" s="13"/>
      <c r="I20" s="14" t="s">
        <v>6</v>
      </c>
      <c r="J20" s="14"/>
      <c r="K20" s="14" t="s">
        <v>25</v>
      </c>
      <c r="L20" s="14"/>
      <c r="M20" s="14" t="s">
        <v>26</v>
      </c>
      <c r="N20" s="3"/>
      <c r="O20" s="3"/>
      <c r="P20" s="3"/>
      <c r="Q20" s="3"/>
    </row>
    <row r="21" spans="1:18" ht="23.25" x14ac:dyDescent="0.35">
      <c r="A21" s="9"/>
      <c r="B21" s="8"/>
      <c r="C21" s="11">
        <f>J5*0.46+L5*0.12</f>
        <v>143.9</v>
      </c>
      <c r="D21" s="11"/>
      <c r="E21" s="11">
        <f>L5*0.4</f>
        <v>63</v>
      </c>
      <c r="F21" s="12"/>
      <c r="G21" s="13">
        <f>N5*0.62</f>
        <v>38.299999999999997</v>
      </c>
      <c r="H21" s="13"/>
      <c r="I21" s="14">
        <f>K5*10.65*0.28+(M5*11.7)*0.1</f>
        <v>143.52941176470588</v>
      </c>
      <c r="J21" s="14"/>
      <c r="K21" s="14">
        <f>M5*11.7*0.34</f>
        <v>63</v>
      </c>
      <c r="L21" s="14"/>
      <c r="M21" s="14" t="s">
        <v>45</v>
      </c>
      <c r="N21" s="3"/>
      <c r="O21" s="3"/>
      <c r="P21" s="3"/>
      <c r="Q21" s="3"/>
    </row>
    <row r="22" spans="1:18" ht="23.25" x14ac:dyDescent="0.35">
      <c r="A22" s="9"/>
      <c r="B22" s="8"/>
      <c r="C22" s="8"/>
      <c r="D22" s="8"/>
      <c r="E22" s="8"/>
      <c r="F22" s="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8" ht="23.25" x14ac:dyDescent="0.35">
      <c r="A23" s="9"/>
      <c r="B23" s="8"/>
      <c r="C23" s="8" t="s">
        <v>15</v>
      </c>
      <c r="D23" s="8"/>
      <c r="E23" s="3" t="s">
        <v>17</v>
      </c>
      <c r="F23" s="2"/>
      <c r="G23" s="3" t="s">
        <v>14</v>
      </c>
      <c r="H23" s="3"/>
      <c r="I23" s="3"/>
      <c r="J23" s="3" t="s">
        <v>52</v>
      </c>
      <c r="K23" s="3"/>
      <c r="L23" s="3"/>
      <c r="M23" s="3"/>
      <c r="N23" s="99"/>
      <c r="O23" s="99"/>
      <c r="P23" s="99"/>
      <c r="Q23" s="99"/>
      <c r="R23" s="99"/>
    </row>
    <row r="24" spans="1:18" ht="23.25" x14ac:dyDescent="0.35">
      <c r="A24" s="9"/>
      <c r="B24" s="8"/>
      <c r="C24" s="8">
        <f>J5/2000*P10</f>
        <v>46.875000000000007</v>
      </c>
      <c r="D24" s="8"/>
      <c r="E24" s="8">
        <f>L5/2000*P12</f>
        <v>40.950000000000003</v>
      </c>
      <c r="F24" s="2"/>
      <c r="G24" s="3">
        <f>N5/2000*P14</f>
        <v>10.038306451612904</v>
      </c>
      <c r="H24" s="3"/>
      <c r="I24" s="3"/>
      <c r="J24" s="15">
        <f>SUM(C24:G24)</f>
        <v>97.863306451612914</v>
      </c>
      <c r="K24" s="3"/>
      <c r="L24" s="3"/>
      <c r="M24" s="3"/>
      <c r="N24" s="3"/>
      <c r="O24" s="3"/>
      <c r="P24" s="3"/>
      <c r="Q24" s="3"/>
    </row>
    <row r="25" spans="1:18" ht="23.25" x14ac:dyDescent="0.35">
      <c r="A25" s="2"/>
      <c r="B25" s="2"/>
      <c r="C25" s="16">
        <v>0.28000000000000003</v>
      </c>
      <c r="D25" s="2"/>
      <c r="E25" s="2" t="s">
        <v>30</v>
      </c>
      <c r="F25" s="2"/>
      <c r="G25" s="3" t="s">
        <v>14</v>
      </c>
      <c r="H25" s="3"/>
      <c r="I25" s="3"/>
      <c r="J25" s="3" t="s">
        <v>53</v>
      </c>
      <c r="K25" s="3"/>
      <c r="L25" s="3"/>
      <c r="M25" s="3"/>
      <c r="N25" s="3"/>
      <c r="O25" s="3"/>
      <c r="P25" s="3"/>
      <c r="Q25" s="3"/>
    </row>
    <row r="26" spans="1:18" ht="23.25" x14ac:dyDescent="0.35">
      <c r="A26" s="2"/>
      <c r="B26" s="2"/>
      <c r="C26" s="2">
        <f>(K5*10.65/2000)*P11</f>
        <v>54.687499999999993</v>
      </c>
      <c r="D26" s="2"/>
      <c r="E26" s="2">
        <f>(M5*11.7/2000)*P13</f>
        <v>37.058823529411761</v>
      </c>
      <c r="F26" s="2"/>
      <c r="G26" s="3">
        <f>N5/2000*P14</f>
        <v>10.038306451612904</v>
      </c>
      <c r="H26" s="3"/>
      <c r="I26" s="3"/>
      <c r="J26" s="15">
        <f>SUM(C26:G26)</f>
        <v>101.78462998102466</v>
      </c>
      <c r="K26" s="3"/>
      <c r="L26" s="3"/>
      <c r="M26" s="3"/>
      <c r="N26" s="3"/>
      <c r="O26" s="3"/>
      <c r="P26" s="3"/>
      <c r="Q26" s="3"/>
    </row>
  </sheetData>
  <mergeCells count="3">
    <mergeCell ref="A9:N9"/>
    <mergeCell ref="O9:Q9"/>
    <mergeCell ref="N23:R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Fert Calculator</vt:lpstr>
      <vt:lpstr>Corn Removal</vt:lpstr>
      <vt:lpstr>Soybean Removal</vt:lpstr>
      <vt:lpstr>Wheat Removal</vt:lpstr>
      <vt:lpstr>'Fert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GREENHOE</dc:creator>
  <cp:lastModifiedBy>JOHN EZINGA</cp:lastModifiedBy>
  <cp:lastPrinted>2018-08-31T13:10:03Z</cp:lastPrinted>
  <dcterms:created xsi:type="dcterms:W3CDTF">2018-02-22T16:01:18Z</dcterms:created>
  <dcterms:modified xsi:type="dcterms:W3CDTF">2018-08-31T13:18:03Z</dcterms:modified>
</cp:coreProperties>
</file>